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8640" tabRatio="886" activeTab="3"/>
  </bookViews>
  <sheets>
    <sheet name="งบรับ-จ่าย 59" sheetId="3" r:id="rId1"/>
    <sheet name="งบทดลอง" sheetId="2" r:id="rId2"/>
    <sheet name="รายรับจริง 59" sheetId="6" r:id="rId3"/>
    <sheet name="ราบจ่ายจริง ปี 59" sheetId="10" r:id="rId4"/>
    <sheet name="งบกระทบยอดเงินฝาก" sheetId="8" r:id="rId5"/>
    <sheet name="กรุงไทย" sheetId="9" r:id="rId6"/>
    <sheet name="10" sheetId="5" r:id="rId7"/>
    <sheet name="งบกระทบยอดคงเหลือ" sheetId="4" r:id="rId8"/>
  </sheets>
  <definedNames>
    <definedName name="_xlnm.Print_Area" localSheetId="6">'10'!$A$1:$AY$248</definedName>
    <definedName name="_xlnm.Print_Area" localSheetId="1">งบทดลอง!$A$1:$F$709</definedName>
    <definedName name="_xlnm.Print_Area" localSheetId="0">'งบรับ-จ่าย 59'!$A$1:$F$1248</definedName>
    <definedName name="_xlnm.Print_Area" localSheetId="2">'รายรับจริง 59'!$A$1:$K$2094</definedName>
  </definedNames>
  <calcPr calcId="144525"/>
</workbook>
</file>

<file path=xl/calcChain.xml><?xml version="1.0" encoding="utf-8"?>
<calcChain xmlns="http://schemas.openxmlformats.org/spreadsheetml/2006/main">
  <c r="Y368" i="10" l="1"/>
  <c r="X368" i="10"/>
  <c r="W368" i="10"/>
  <c r="V368" i="10"/>
  <c r="U368" i="10"/>
  <c r="T368" i="10"/>
  <c r="S368" i="10"/>
  <c r="R368" i="10"/>
  <c r="Q368" i="10"/>
  <c r="P368" i="10"/>
  <c r="O368" i="10"/>
  <c r="N368" i="10"/>
  <c r="M368" i="10"/>
  <c r="L368" i="10"/>
  <c r="K368" i="10"/>
  <c r="J368" i="10"/>
  <c r="I368" i="10"/>
  <c r="H368" i="10"/>
  <c r="G368" i="10"/>
  <c r="F368" i="10"/>
  <c r="C364" i="10"/>
  <c r="E364" i="10" s="1"/>
  <c r="E362" i="10"/>
  <c r="C361" i="10"/>
  <c r="C368" i="10" s="1"/>
  <c r="D359" i="10"/>
  <c r="E359" i="10" s="1"/>
  <c r="E357" i="10"/>
  <c r="D355" i="10"/>
  <c r="E355" i="10" s="1"/>
  <c r="D353" i="10"/>
  <c r="E353" i="10" s="1"/>
  <c r="D351" i="10"/>
  <c r="Y329" i="10"/>
  <c r="X329" i="10"/>
  <c r="W329" i="10"/>
  <c r="V329" i="10"/>
  <c r="U329" i="10"/>
  <c r="T329" i="10"/>
  <c r="S329" i="10"/>
  <c r="R329" i="10"/>
  <c r="Q329" i="10"/>
  <c r="P329" i="10"/>
  <c r="O329" i="10"/>
  <c r="N329" i="10"/>
  <c r="M329" i="10"/>
  <c r="L329" i="10"/>
  <c r="K329" i="10"/>
  <c r="J329" i="10"/>
  <c r="I329" i="10"/>
  <c r="H329" i="10"/>
  <c r="G329" i="10"/>
  <c r="F329" i="10"/>
  <c r="D328" i="10"/>
  <c r="D329" i="10" s="1"/>
  <c r="C328" i="10"/>
  <c r="Y325" i="10"/>
  <c r="X325" i="10"/>
  <c r="W325" i="10"/>
  <c r="V325" i="10"/>
  <c r="U325" i="10"/>
  <c r="T325" i="10"/>
  <c r="S325" i="10"/>
  <c r="R325" i="10"/>
  <c r="Q325" i="10"/>
  <c r="P325" i="10"/>
  <c r="O325" i="10"/>
  <c r="N325" i="10"/>
  <c r="M325" i="10"/>
  <c r="L325" i="10"/>
  <c r="K325" i="10"/>
  <c r="J325" i="10"/>
  <c r="I325" i="10"/>
  <c r="H325" i="10"/>
  <c r="G325" i="10"/>
  <c r="F325" i="10"/>
  <c r="D323" i="10"/>
  <c r="E323" i="10" s="1"/>
  <c r="D320" i="10"/>
  <c r="C320" i="10"/>
  <c r="E320" i="10" s="1"/>
  <c r="D318" i="10"/>
  <c r="E318" i="10" s="1"/>
  <c r="D315" i="10"/>
  <c r="C315" i="10"/>
  <c r="D290" i="10"/>
  <c r="E290" i="10" s="1"/>
  <c r="D287" i="10"/>
  <c r="E287" i="10" s="1"/>
  <c r="D285" i="10"/>
  <c r="E285" i="10" s="1"/>
  <c r="D283" i="10"/>
  <c r="E283" i="10" s="1"/>
  <c r="D281" i="10"/>
  <c r="C281" i="10"/>
  <c r="E281" i="10" s="1"/>
  <c r="D280" i="10"/>
  <c r="E280" i="10" s="1"/>
  <c r="D279" i="10"/>
  <c r="E279" i="10" s="1"/>
  <c r="D278" i="10"/>
  <c r="C278" i="10"/>
  <c r="C325" i="10" s="1"/>
  <c r="Y248" i="10"/>
  <c r="X248" i="10"/>
  <c r="W248" i="10"/>
  <c r="V248" i="10"/>
  <c r="U248" i="10"/>
  <c r="T248" i="10"/>
  <c r="S248" i="10"/>
  <c r="R248" i="10"/>
  <c r="Q248" i="10"/>
  <c r="P248" i="10"/>
  <c r="O248" i="10"/>
  <c r="N248" i="10"/>
  <c r="M248" i="10"/>
  <c r="L248" i="10"/>
  <c r="K248" i="10"/>
  <c r="J248" i="10"/>
  <c r="I248" i="10"/>
  <c r="H248" i="10"/>
  <c r="G248" i="10"/>
  <c r="F248" i="10"/>
  <c r="C248" i="10"/>
  <c r="D247" i="10"/>
  <c r="E247" i="10" s="1"/>
  <c r="E245" i="10"/>
  <c r="D243" i="10"/>
  <c r="E243" i="10" s="1"/>
  <c r="D242" i="10"/>
  <c r="E242" i="10" s="1"/>
  <c r="E241" i="10"/>
  <c r="E240" i="10"/>
  <c r="D238" i="10"/>
  <c r="E238" i="10" s="1"/>
  <c r="Y213" i="10"/>
  <c r="X213" i="10"/>
  <c r="W213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G213" i="10"/>
  <c r="F213" i="10"/>
  <c r="D212" i="10"/>
  <c r="E212" i="10" s="1"/>
  <c r="D211" i="10"/>
  <c r="C211" i="10"/>
  <c r="D210" i="10"/>
  <c r="C210" i="10"/>
  <c r="D209" i="10"/>
  <c r="E209" i="10" s="1"/>
  <c r="D208" i="10"/>
  <c r="C208" i="10"/>
  <c r="Y206" i="10"/>
  <c r="X206" i="10"/>
  <c r="W206" i="10"/>
  <c r="V206" i="10"/>
  <c r="U206" i="10"/>
  <c r="T206" i="10"/>
  <c r="S206" i="10"/>
  <c r="R206" i="10"/>
  <c r="Q206" i="10"/>
  <c r="P206" i="10"/>
  <c r="O206" i="10"/>
  <c r="N206" i="10"/>
  <c r="M206" i="10"/>
  <c r="L206" i="10"/>
  <c r="K206" i="10"/>
  <c r="J206" i="10"/>
  <c r="I206" i="10"/>
  <c r="H206" i="10"/>
  <c r="G206" i="10"/>
  <c r="F206" i="10"/>
  <c r="D205" i="10"/>
  <c r="E205" i="10" s="1"/>
  <c r="D204" i="10"/>
  <c r="C204" i="10"/>
  <c r="D203" i="10"/>
  <c r="E203" i="10" s="1"/>
  <c r="D202" i="10"/>
  <c r="C202" i="10"/>
  <c r="E202" i="10" s="1"/>
  <c r="D201" i="10"/>
  <c r="E201" i="10" s="1"/>
  <c r="D200" i="10"/>
  <c r="E200" i="10" s="1"/>
  <c r="D199" i="10"/>
  <c r="C199" i="10"/>
  <c r="E199" i="10" s="1"/>
  <c r="D198" i="10"/>
  <c r="E198" i="10" s="1"/>
  <c r="D197" i="10"/>
  <c r="E197" i="10" s="1"/>
  <c r="D175" i="10"/>
  <c r="C175" i="10"/>
  <c r="E175" i="10" s="1"/>
  <c r="D174" i="10"/>
  <c r="E174" i="10" s="1"/>
  <c r="D173" i="10"/>
  <c r="E173" i="10" s="1"/>
  <c r="D172" i="10"/>
  <c r="C172" i="10"/>
  <c r="E172" i="10" s="1"/>
  <c r="D171" i="10"/>
  <c r="C171" i="10"/>
  <c r="E171" i="10" s="1"/>
  <c r="D170" i="10"/>
  <c r="C170" i="10"/>
  <c r="C206" i="10" s="1"/>
  <c r="Y168" i="10"/>
  <c r="X168" i="10"/>
  <c r="W168" i="10"/>
  <c r="V168" i="10"/>
  <c r="U168" i="10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G168" i="10"/>
  <c r="F168" i="10"/>
  <c r="D167" i="10"/>
  <c r="C167" i="10"/>
  <c r="D166" i="10"/>
  <c r="E166" i="10" s="1"/>
  <c r="D165" i="10"/>
  <c r="E165" i="10" s="1"/>
  <c r="D163" i="10"/>
  <c r="C163" i="10"/>
  <c r="D162" i="10"/>
  <c r="E162" i="10" s="1"/>
  <c r="D161" i="10"/>
  <c r="C161" i="10"/>
  <c r="C160" i="10"/>
  <c r="E160" i="10" s="1"/>
  <c r="D159" i="10"/>
  <c r="E159" i="10" s="1"/>
  <c r="D158" i="10"/>
  <c r="C158" i="10"/>
  <c r="D133" i="10"/>
  <c r="E133" i="10" s="1"/>
  <c r="D132" i="10"/>
  <c r="C132" i="10"/>
  <c r="D131" i="10"/>
  <c r="C131" i="10"/>
  <c r="T130" i="10"/>
  <c r="T168" i="10" s="1"/>
  <c r="C130" i="10"/>
  <c r="D129" i="10"/>
  <c r="C129" i="10"/>
  <c r="E129" i="10" s="1"/>
  <c r="D128" i="10"/>
  <c r="E128" i="10" s="1"/>
  <c r="D127" i="10"/>
  <c r="C127" i="10"/>
  <c r="D126" i="10"/>
  <c r="C126" i="10"/>
  <c r="D124" i="10"/>
  <c r="C124" i="10"/>
  <c r="D123" i="10"/>
  <c r="E123" i="10" s="1"/>
  <c r="D122" i="10"/>
  <c r="C122" i="10"/>
  <c r="D121" i="10"/>
  <c r="E121" i="10" s="1"/>
  <c r="D119" i="10"/>
  <c r="E119" i="10" s="1"/>
  <c r="D96" i="10"/>
  <c r="C96" i="10"/>
  <c r="D95" i="10"/>
  <c r="E95" i="10" s="1"/>
  <c r="D94" i="10"/>
  <c r="C94" i="10"/>
  <c r="D93" i="10"/>
  <c r="C93" i="10"/>
  <c r="D92" i="10"/>
  <c r="C92" i="10"/>
  <c r="D91" i="10"/>
  <c r="E91" i="10" s="1"/>
  <c r="D90" i="10"/>
  <c r="C90" i="10"/>
  <c r="D89" i="10"/>
  <c r="C89" i="10"/>
  <c r="E89" i="10" s="1"/>
  <c r="D88" i="10"/>
  <c r="E88" i="10" s="1"/>
  <c r="D87" i="10"/>
  <c r="E87" i="10" s="1"/>
  <c r="D84" i="10"/>
  <c r="C84" i="10"/>
  <c r="E84" i="10" s="1"/>
  <c r="D82" i="10"/>
  <c r="E82" i="10" s="1"/>
  <c r="D80" i="10"/>
  <c r="C80" i="10"/>
  <c r="E80" i="10" s="1"/>
  <c r="D56" i="10"/>
  <c r="E56" i="10" s="1"/>
  <c r="D55" i="10"/>
  <c r="E55" i="10" s="1"/>
  <c r="D54" i="10"/>
  <c r="E54" i="10" s="1"/>
  <c r="D53" i="10"/>
  <c r="E53" i="10" s="1"/>
  <c r="D52" i="10"/>
  <c r="E52" i="10" s="1"/>
  <c r="D51" i="10"/>
  <c r="C51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D48" i="10"/>
  <c r="D47" i="10"/>
  <c r="D46" i="10"/>
  <c r="G45" i="10"/>
  <c r="G49" i="10" s="1"/>
  <c r="C45" i="10"/>
  <c r="D44" i="10"/>
  <c r="C44" i="10"/>
  <c r="E44" i="10" s="1"/>
  <c r="D43" i="10"/>
  <c r="C43" i="10"/>
  <c r="E43" i="10" s="1"/>
  <c r="D42" i="10"/>
  <c r="C4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D29" i="10"/>
  <c r="C29" i="10"/>
  <c r="E29" i="10" s="1"/>
  <c r="D28" i="10"/>
  <c r="C28" i="10"/>
  <c r="D27" i="10"/>
  <c r="C27" i="10"/>
  <c r="E27" i="10" s="1"/>
  <c r="D26" i="10"/>
  <c r="C26" i="10"/>
  <c r="D25" i="10"/>
  <c r="C25" i="10"/>
  <c r="C30" i="10" s="1"/>
  <c r="G23" i="10"/>
  <c r="D23" i="10"/>
  <c r="C23" i="10"/>
  <c r="E22" i="10"/>
  <c r="E21" i="10"/>
  <c r="E20" i="10"/>
  <c r="E19" i="10"/>
  <c r="E18" i="10"/>
  <c r="D15" i="10"/>
  <c r="E15" i="10" s="1"/>
  <c r="D14" i="10"/>
  <c r="E14" i="10" s="1"/>
  <c r="D13" i="10"/>
  <c r="C13" i="10"/>
  <c r="E13" i="10" s="1"/>
  <c r="D12" i="10"/>
  <c r="E12" i="10" s="1"/>
  <c r="F11" i="10"/>
  <c r="F16" i="10" s="1"/>
  <c r="D11" i="10"/>
  <c r="C11" i="10"/>
  <c r="D16" i="10" l="1"/>
  <c r="C49" i="10"/>
  <c r="E28" i="10"/>
  <c r="C168" i="10"/>
  <c r="E90" i="10"/>
  <c r="E315" i="10"/>
  <c r="D206" i="10"/>
  <c r="C213" i="10"/>
  <c r="E11" i="10"/>
  <c r="E26" i="10"/>
  <c r="D45" i="10"/>
  <c r="D49" i="10" s="1"/>
  <c r="E92" i="10"/>
  <c r="E93" i="10"/>
  <c r="E94" i="10"/>
  <c r="E96" i="10"/>
  <c r="E122" i="10"/>
  <c r="E124" i="10"/>
  <c r="E126" i="10"/>
  <c r="E127" i="10"/>
  <c r="D130" i="10"/>
  <c r="D168" i="10" s="1"/>
  <c r="E131" i="10"/>
  <c r="E132" i="10"/>
  <c r="E158" i="10"/>
  <c r="E161" i="10"/>
  <c r="E163" i="10"/>
  <c r="E167" i="10"/>
  <c r="E204" i="10"/>
  <c r="E210" i="10"/>
  <c r="E211" i="10"/>
  <c r="E248" i="10"/>
  <c r="D325" i="10"/>
  <c r="E328" i="10"/>
  <c r="E329" i="10" s="1"/>
  <c r="D368" i="10"/>
  <c r="G369" i="10"/>
  <c r="I369" i="10"/>
  <c r="K369" i="10"/>
  <c r="M369" i="10"/>
  <c r="O369" i="10"/>
  <c r="Q369" i="10"/>
  <c r="S369" i="10"/>
  <c r="U369" i="10"/>
  <c r="W369" i="10"/>
  <c r="Y369" i="10"/>
  <c r="C16" i="10"/>
  <c r="D30" i="10"/>
  <c r="E45" i="10"/>
  <c r="E130" i="10"/>
  <c r="D213" i="10"/>
  <c r="H369" i="10"/>
  <c r="J369" i="10"/>
  <c r="L369" i="10"/>
  <c r="N369" i="10"/>
  <c r="P369" i="10"/>
  <c r="R369" i="10"/>
  <c r="V369" i="10"/>
  <c r="X369" i="10"/>
  <c r="E368" i="10"/>
  <c r="E16" i="10"/>
  <c r="E30" i="10"/>
  <c r="F369" i="10"/>
  <c r="T369" i="10"/>
  <c r="E25" i="10"/>
  <c r="E170" i="10"/>
  <c r="E206" i="10" s="1"/>
  <c r="E208" i="10"/>
  <c r="D248" i="10"/>
  <c r="E278" i="10"/>
  <c r="E325" i="10" s="1"/>
  <c r="C329" i="10"/>
  <c r="C369" i="10" s="1"/>
  <c r="E351" i="10"/>
  <c r="E42" i="10"/>
  <c r="E49" i="10" s="1"/>
  <c r="E51" i="10"/>
  <c r="E361" i="10"/>
  <c r="E168" i="10" l="1"/>
  <c r="E213" i="10"/>
  <c r="D369" i="10"/>
  <c r="E369" i="10" s="1"/>
  <c r="D376" i="9" l="1"/>
  <c r="E376" i="9" s="1"/>
  <c r="E388" i="9" s="1"/>
  <c r="D344" i="9"/>
  <c r="E344" i="9" s="1"/>
  <c r="E356" i="9" s="1"/>
  <c r="E319" i="9"/>
  <c r="D310" i="9"/>
  <c r="E310" i="9" s="1"/>
  <c r="E278" i="9"/>
  <c r="E287" i="9" s="1"/>
  <c r="D278" i="9"/>
  <c r="D245" i="9"/>
  <c r="E245" i="9" s="1"/>
  <c r="E254" i="9" s="1"/>
  <c r="D212" i="9"/>
  <c r="E212" i="9" s="1"/>
  <c r="E221" i="9" s="1"/>
  <c r="D179" i="9"/>
  <c r="E179" i="9" s="1"/>
  <c r="E188" i="9" s="1"/>
  <c r="E146" i="9"/>
  <c r="E155" i="9" s="1"/>
  <c r="D146" i="9"/>
  <c r="D113" i="9"/>
  <c r="E113" i="9" s="1"/>
  <c r="E122" i="9" s="1"/>
  <c r="D80" i="9"/>
  <c r="E80" i="9" s="1"/>
  <c r="E89" i="9" s="1"/>
  <c r="D47" i="9"/>
  <c r="E47" i="9" s="1"/>
  <c r="E56" i="9" s="1"/>
  <c r="E14" i="9"/>
  <c r="E23" i="9" s="1"/>
  <c r="D14" i="9"/>
  <c r="D409" i="8"/>
  <c r="E409" i="8" s="1"/>
  <c r="E413" i="8" s="1"/>
  <c r="H397" i="8" s="1"/>
  <c r="D367" i="8"/>
  <c r="E367" i="8" s="1"/>
  <c r="E372" i="8" s="1"/>
  <c r="E332" i="8"/>
  <c r="E337" i="8" s="1"/>
  <c r="D332" i="8"/>
  <c r="D295" i="8"/>
  <c r="E295" i="8" s="1"/>
  <c r="E300" i="8" s="1"/>
  <c r="D258" i="8"/>
  <c r="E258" i="8" s="1"/>
  <c r="E263" i="8" s="1"/>
  <c r="D223" i="8"/>
  <c r="E223" i="8" s="1"/>
  <c r="E228" i="8" s="1"/>
  <c r="E190" i="8"/>
  <c r="E195" i="8" s="1"/>
  <c r="D190" i="8"/>
  <c r="D155" i="8"/>
  <c r="E155" i="8" s="1"/>
  <c r="E160" i="8" s="1"/>
  <c r="D120" i="8"/>
  <c r="E120" i="8" s="1"/>
  <c r="E125" i="8" s="1"/>
  <c r="D83" i="8"/>
  <c r="E83" i="8" s="1"/>
  <c r="E88" i="8" s="1"/>
  <c r="E48" i="8"/>
  <c r="E53" i="8" s="1"/>
  <c r="D48" i="8"/>
  <c r="D19" i="8"/>
  <c r="E19" i="8" s="1"/>
  <c r="E24" i="8" s="1"/>
  <c r="J1754" i="6"/>
  <c r="F1129" i="3"/>
  <c r="B1129" i="3"/>
  <c r="I1754" i="6"/>
  <c r="D652" i="2" l="1"/>
  <c r="I1976" i="6"/>
  <c r="J1976" i="6"/>
  <c r="J1978" i="6" s="1"/>
  <c r="I1978" i="6"/>
  <c r="J2069" i="6"/>
  <c r="H2069" i="6"/>
  <c r="I2061" i="6"/>
  <c r="I2059" i="6"/>
  <c r="J2041" i="6"/>
  <c r="J2042" i="6" s="1"/>
  <c r="H2041" i="6"/>
  <c r="H2042" i="6" s="1"/>
  <c r="I2036" i="6"/>
  <c r="I2035" i="6"/>
  <c r="I2034" i="6"/>
  <c r="I2033" i="6"/>
  <c r="I2031" i="6"/>
  <c r="I2030" i="6"/>
  <c r="J2025" i="6"/>
  <c r="H2025" i="6"/>
  <c r="I2022" i="6"/>
  <c r="I2021" i="6"/>
  <c r="I2019" i="6"/>
  <c r="I2018" i="6"/>
  <c r="I2016" i="6"/>
  <c r="J2003" i="6"/>
  <c r="H2003" i="6"/>
  <c r="I2002" i="6"/>
  <c r="I2000" i="6"/>
  <c r="I1999" i="6"/>
  <c r="I1998" i="6"/>
  <c r="I1996" i="6"/>
  <c r="I1995" i="6"/>
  <c r="I1994" i="6"/>
  <c r="I1993" i="6"/>
  <c r="I1992" i="6"/>
  <c r="J1990" i="6"/>
  <c r="I1990" i="6"/>
  <c r="H1990" i="6"/>
  <c r="J1986" i="6"/>
  <c r="H1986" i="6"/>
  <c r="I1985" i="6"/>
  <c r="I1984" i="6"/>
  <c r="J1982" i="6"/>
  <c r="H1982" i="6"/>
  <c r="I1981" i="6"/>
  <c r="I1980" i="6"/>
  <c r="H1978" i="6"/>
  <c r="J1967" i="6"/>
  <c r="H1967" i="6"/>
  <c r="I1966" i="6"/>
  <c r="I1965" i="6"/>
  <c r="I1956" i="6"/>
  <c r="I1955" i="6"/>
  <c r="I1953" i="6"/>
  <c r="I1947" i="6"/>
  <c r="I1945" i="6"/>
  <c r="J1943" i="6"/>
  <c r="H1943" i="6"/>
  <c r="I1942" i="6"/>
  <c r="I1940" i="6"/>
  <c r="I1939" i="6"/>
  <c r="I1938" i="6"/>
  <c r="D656" i="2"/>
  <c r="B1138" i="3"/>
  <c r="F1138" i="3"/>
  <c r="F1191" i="3"/>
  <c r="I1717" i="6"/>
  <c r="I1716" i="6"/>
  <c r="B1127" i="3"/>
  <c r="I2025" i="6" l="1"/>
  <c r="I1967" i="6"/>
  <c r="I2069" i="6"/>
  <c r="I1943" i="6"/>
  <c r="I1982" i="6"/>
  <c r="I1986" i="6"/>
  <c r="H2026" i="6"/>
  <c r="I2041" i="6"/>
  <c r="I2042" i="6" s="1"/>
  <c r="I2003" i="6"/>
  <c r="J2026" i="6"/>
  <c r="J2043" i="6" s="1"/>
  <c r="J2070" i="6" s="1"/>
  <c r="F1170" i="3"/>
  <c r="B1170" i="3"/>
  <c r="F1179" i="3"/>
  <c r="B1179" i="3"/>
  <c r="F1178" i="3"/>
  <c r="B1178" i="3"/>
  <c r="F1174" i="3"/>
  <c r="B1174" i="3"/>
  <c r="F1175" i="3"/>
  <c r="B1173" i="3"/>
  <c r="I1846" i="6"/>
  <c r="I1674" i="6"/>
  <c r="B1059" i="3"/>
  <c r="B1175" i="3"/>
  <c r="B834" i="3"/>
  <c r="B1143" i="3"/>
  <c r="D596" i="2"/>
  <c r="B997" i="3"/>
  <c r="F997" i="3"/>
  <c r="B1024" i="3"/>
  <c r="F1024" i="3"/>
  <c r="B1196" i="3"/>
  <c r="F1050" i="3"/>
  <c r="B1050" i="3"/>
  <c r="B1172" i="3"/>
  <c r="B145" i="3"/>
  <c r="B242" i="3"/>
  <c r="B340" i="3"/>
  <c r="I2026" i="6" l="1"/>
  <c r="I2043" i="6" s="1"/>
  <c r="I2070" i="6" s="1"/>
  <c r="F1143" i="3"/>
  <c r="B992" i="3"/>
  <c r="B1130" i="3"/>
  <c r="B1128" i="3"/>
  <c r="I1758" i="6"/>
  <c r="B984" i="3"/>
  <c r="B981" i="3"/>
  <c r="I1593" i="6"/>
  <c r="I1552" i="6"/>
  <c r="I1551" i="6"/>
  <c r="B1177" i="3"/>
  <c r="B1141" i="3"/>
  <c r="F1141" i="3"/>
  <c r="B1197" i="3"/>
  <c r="B1152" i="3"/>
  <c r="B1192" i="3"/>
  <c r="B1184" i="3"/>
  <c r="F1184" i="3"/>
  <c r="B1190" i="3"/>
  <c r="B1009" i="3" l="1"/>
  <c r="B982" i="3"/>
  <c r="B884" i="3"/>
  <c r="B785" i="3"/>
  <c r="B687" i="3"/>
  <c r="B589" i="3"/>
  <c r="B537" i="3"/>
  <c r="B554" i="3"/>
  <c r="B538" i="3"/>
  <c r="B532" i="3"/>
  <c r="B507" i="3"/>
  <c r="F507" i="3"/>
  <c r="B502" i="3"/>
  <c r="I788" i="6"/>
  <c r="B497" i="3"/>
  <c r="B493" i="3"/>
  <c r="B491" i="3"/>
  <c r="B494" i="3"/>
  <c r="I800" i="6"/>
  <c r="B395" i="3"/>
  <c r="B492" i="3" s="1"/>
  <c r="I1763" i="6" l="1"/>
  <c r="I1808" i="6"/>
  <c r="I1812" i="6"/>
  <c r="I1780" i="6"/>
  <c r="I1778" i="6"/>
  <c r="I1776" i="6"/>
  <c r="I1773" i="6"/>
  <c r="I1772" i="6"/>
  <c r="I1771" i="6"/>
  <c r="I1770" i="6"/>
  <c r="I1723" i="6"/>
  <c r="I1718" i="6"/>
  <c r="I1744" i="6"/>
  <c r="I1731" i="6"/>
  <c r="B1185" i="3"/>
  <c r="F1185" i="3"/>
  <c r="B1187" i="3"/>
  <c r="B1041" i="3"/>
  <c r="B943" i="3"/>
  <c r="B844" i="3"/>
  <c r="B746" i="3"/>
  <c r="B550" i="3"/>
  <c r="F550" i="3"/>
  <c r="B1029" i="3"/>
  <c r="C671" i="2"/>
  <c r="D671" i="2"/>
  <c r="B1131" i="3"/>
  <c r="B985" i="3"/>
  <c r="I1598" i="6"/>
  <c r="I1566" i="6"/>
  <c r="B848" i="3" l="1"/>
  <c r="B831" i="3"/>
  <c r="B826" i="3"/>
  <c r="B925" i="3"/>
  <c r="B926" i="3"/>
  <c r="B927" i="3"/>
  <c r="B948" i="3"/>
  <c r="B952" i="3"/>
  <c r="B953" i="3"/>
  <c r="B947" i="3"/>
  <c r="B930" i="3"/>
  <c r="B931" i="3"/>
  <c r="B899" i="3"/>
  <c r="B894" i="3"/>
  <c r="B889" i="3"/>
  <c r="B885" i="3"/>
  <c r="B883" i="3"/>
  <c r="B1045" i="3"/>
  <c r="B1030" i="3"/>
  <c r="B1191" i="3"/>
  <c r="B1176" i="3"/>
  <c r="B1202" i="3"/>
  <c r="B1171" i="3"/>
  <c r="B1144" i="3"/>
  <c r="B1150" i="3"/>
  <c r="B1149" i="3"/>
  <c r="B1133" i="3"/>
  <c r="B1208" i="3" l="1"/>
  <c r="B1207" i="3"/>
  <c r="B1206" i="3"/>
  <c r="B1205" i="3"/>
  <c r="F1209" i="3"/>
  <c r="B1195" i="3"/>
  <c r="B1189" i="3"/>
  <c r="B1188" i="3"/>
  <c r="F1182" i="3"/>
  <c r="A1178" i="3"/>
  <c r="A1177" i="3"/>
  <c r="A1176" i="3"/>
  <c r="A1175" i="3"/>
  <c r="A1174" i="3"/>
  <c r="A1173" i="3"/>
  <c r="A1172" i="3"/>
  <c r="B1182" i="3"/>
  <c r="B1162" i="3"/>
  <c r="B1161" i="3"/>
  <c r="B1156" i="3"/>
  <c r="B1151" i="3"/>
  <c r="B1147" i="3"/>
  <c r="B1146" i="3"/>
  <c r="B1145" i="3"/>
  <c r="F1163" i="3"/>
  <c r="F1135" i="3"/>
  <c r="A1135" i="3"/>
  <c r="B1134" i="3"/>
  <c r="B1135" i="3" s="1"/>
  <c r="B1163" i="3" l="1"/>
  <c r="B1164" i="3" s="1"/>
  <c r="B1209" i="3"/>
  <c r="B1210" i="3" s="1"/>
  <c r="A1182" i="3"/>
  <c r="F1210" i="3"/>
  <c r="F1164" i="3"/>
  <c r="F1212" i="3" l="1"/>
  <c r="B1212" i="3"/>
  <c r="B1213" i="3" s="1"/>
  <c r="I1756" i="6" l="1"/>
  <c r="I1774" i="6"/>
  <c r="I1809" i="6"/>
  <c r="J1854" i="6"/>
  <c r="H1854" i="6"/>
  <c r="I1844" i="6"/>
  <c r="J1819" i="6"/>
  <c r="J1820" i="6" s="1"/>
  <c r="H1819" i="6"/>
  <c r="H1820" i="6" s="1"/>
  <c r="I1814" i="6"/>
  <c r="I1813" i="6"/>
  <c r="I1811" i="6"/>
  <c r="J1803" i="6"/>
  <c r="H1803" i="6"/>
  <c r="I1800" i="6"/>
  <c r="I1799" i="6"/>
  <c r="I1797" i="6"/>
  <c r="I1796" i="6"/>
  <c r="I1794" i="6"/>
  <c r="J1781" i="6"/>
  <c r="H1781" i="6"/>
  <c r="I1777" i="6"/>
  <c r="J1768" i="6"/>
  <c r="I1768" i="6"/>
  <c r="H1768" i="6"/>
  <c r="J1764" i="6"/>
  <c r="H1764" i="6"/>
  <c r="I1762" i="6"/>
  <c r="I1764" i="6" s="1"/>
  <c r="J1760" i="6"/>
  <c r="H1760" i="6"/>
  <c r="I1759" i="6"/>
  <c r="J1756" i="6"/>
  <c r="H1756" i="6"/>
  <c r="J1745" i="6"/>
  <c r="H1745" i="6"/>
  <c r="I1743" i="6"/>
  <c r="I1734" i="6"/>
  <c r="I1733" i="6"/>
  <c r="I1725" i="6"/>
  <c r="J1721" i="6"/>
  <c r="H1721" i="6"/>
  <c r="I1720" i="6"/>
  <c r="D610" i="2"/>
  <c r="C610" i="2"/>
  <c r="I1819" i="6" l="1"/>
  <c r="I1820" i="6" s="1"/>
  <c r="I1721" i="6"/>
  <c r="I1760" i="6"/>
  <c r="I1781" i="6"/>
  <c r="I1745" i="6"/>
  <c r="I1854" i="6"/>
  <c r="H1804" i="6"/>
  <c r="I1803" i="6"/>
  <c r="J1804" i="6"/>
  <c r="J1821" i="6" s="1"/>
  <c r="J1855" i="6" s="1"/>
  <c r="J1616" i="6"/>
  <c r="F1051" i="3"/>
  <c r="F1062" i="3" s="1"/>
  <c r="B995" i="3"/>
  <c r="F995" i="3"/>
  <c r="B1051" i="3"/>
  <c r="B1046" i="3"/>
  <c r="B1043" i="3"/>
  <c r="B1039" i="3"/>
  <c r="B1038" i="3"/>
  <c r="B1033" i="3"/>
  <c r="B1032" i="3"/>
  <c r="B1028" i="3"/>
  <c r="B1027" i="3"/>
  <c r="B1026" i="3"/>
  <c r="B1025" i="3"/>
  <c r="B1013" i="3"/>
  <c r="B1004" i="3"/>
  <c r="B987" i="3"/>
  <c r="I1436" i="6"/>
  <c r="I1644" i="6"/>
  <c r="I1594" i="6"/>
  <c r="I1612" i="6"/>
  <c r="I1615" i="6"/>
  <c r="I1613" i="6"/>
  <c r="I1609" i="6"/>
  <c r="I1608" i="6"/>
  <c r="I1607" i="6"/>
  <c r="I1606" i="6"/>
  <c r="I1605" i="6"/>
  <c r="I1569" i="6"/>
  <c r="I1560" i="6"/>
  <c r="I1578" i="6"/>
  <c r="I1555" i="6"/>
  <c r="J1682" i="6"/>
  <c r="H1682" i="6"/>
  <c r="I1672" i="6"/>
  <c r="J1654" i="6"/>
  <c r="J1655" i="6" s="1"/>
  <c r="H1654" i="6"/>
  <c r="H1655" i="6" s="1"/>
  <c r="I1649" i="6"/>
  <c r="I1648" i="6"/>
  <c r="I1647" i="6"/>
  <c r="I1646" i="6"/>
  <c r="I1643" i="6"/>
  <c r="J1638" i="6"/>
  <c r="H1638" i="6"/>
  <c r="I1635" i="6"/>
  <c r="I1634" i="6"/>
  <c r="I1632" i="6"/>
  <c r="I1631" i="6"/>
  <c r="I1629" i="6"/>
  <c r="H1616" i="6"/>
  <c r="I1611" i="6"/>
  <c r="J1603" i="6"/>
  <c r="I1603" i="6"/>
  <c r="H1603" i="6"/>
  <c r="J1599" i="6"/>
  <c r="H1599" i="6"/>
  <c r="I1597" i="6"/>
  <c r="J1595" i="6"/>
  <c r="H1595" i="6"/>
  <c r="J1591" i="6"/>
  <c r="H1591" i="6"/>
  <c r="I1589" i="6"/>
  <c r="I1591" i="6" s="1"/>
  <c r="J1580" i="6"/>
  <c r="H1580" i="6"/>
  <c r="I1579" i="6"/>
  <c r="I1568" i="6"/>
  <c r="I1558" i="6"/>
  <c r="J1556" i="6"/>
  <c r="H1556" i="6"/>
  <c r="I1553" i="6"/>
  <c r="B1061" i="3"/>
  <c r="B1060" i="3"/>
  <c r="B1058" i="3"/>
  <c r="B1049" i="3"/>
  <c r="B1044" i="3"/>
  <c r="B1042" i="3"/>
  <c r="F1036" i="3"/>
  <c r="A1032" i="3"/>
  <c r="B1031" i="3"/>
  <c r="A1031" i="3"/>
  <c r="A1030" i="3"/>
  <c r="A1029" i="3"/>
  <c r="A1028" i="3"/>
  <c r="A1027" i="3"/>
  <c r="A1026" i="3"/>
  <c r="B1014" i="3"/>
  <c r="B1006" i="3"/>
  <c r="B1005" i="3"/>
  <c r="B1003" i="3"/>
  <c r="B1001" i="3"/>
  <c r="B1000" i="3"/>
  <c r="B999" i="3"/>
  <c r="B998" i="3"/>
  <c r="F989" i="3"/>
  <c r="A989" i="3"/>
  <c r="B988" i="3"/>
  <c r="B983" i="3"/>
  <c r="I1804" i="6" l="1"/>
  <c r="I1821" i="6" s="1"/>
  <c r="I1855" i="6" s="1"/>
  <c r="A1036" i="3"/>
  <c r="I1595" i="6"/>
  <c r="F1015" i="3"/>
  <c r="F1016" i="3" s="1"/>
  <c r="B1036" i="3"/>
  <c r="B1062" i="3"/>
  <c r="B1015" i="3"/>
  <c r="B989" i="3"/>
  <c r="I1599" i="6"/>
  <c r="I1654" i="6"/>
  <c r="I1655" i="6" s="1"/>
  <c r="I1616" i="6"/>
  <c r="I1638" i="6"/>
  <c r="H1639" i="6"/>
  <c r="I1682" i="6"/>
  <c r="I1580" i="6"/>
  <c r="I1556" i="6"/>
  <c r="J1639" i="6"/>
  <c r="J1656" i="6" s="1"/>
  <c r="J1683" i="6" s="1"/>
  <c r="F1063" i="3"/>
  <c r="B1063" i="3" l="1"/>
  <c r="B1016" i="3"/>
  <c r="I1639" i="6"/>
  <c r="I1656" i="6" s="1"/>
  <c r="I1683" i="6" s="1"/>
  <c r="F1065" i="3"/>
  <c r="B1065" i="3" l="1"/>
  <c r="B1066" i="3" s="1"/>
  <c r="D539" i="2" l="1"/>
  <c r="C552" i="2" l="1"/>
  <c r="D552" i="2"/>
  <c r="F930" i="3"/>
  <c r="F937" i="3" s="1"/>
  <c r="B941" i="3"/>
  <c r="B940" i="3"/>
  <c r="B728" i="3"/>
  <c r="B886" i="3"/>
  <c r="B800" i="3"/>
  <c r="B795" i="3"/>
  <c r="B790" i="3"/>
  <c r="B784" i="3"/>
  <c r="B832" i="3"/>
  <c r="F899" i="3"/>
  <c r="B909" i="3"/>
  <c r="B957" i="3"/>
  <c r="B934" i="3"/>
  <c r="B929" i="3"/>
  <c r="B928" i="3"/>
  <c r="B917" i="3"/>
  <c r="B902" i="3"/>
  <c r="F901" i="3"/>
  <c r="B901" i="3"/>
  <c r="B890" i="3"/>
  <c r="B887" i="3"/>
  <c r="I1515" i="6"/>
  <c r="I1525" i="6" s="1"/>
  <c r="I1492" i="6"/>
  <c r="I1491" i="6"/>
  <c r="I1490" i="6"/>
  <c r="I1489" i="6"/>
  <c r="I1477" i="6"/>
  <c r="I1475" i="6"/>
  <c r="I1474" i="6"/>
  <c r="I1458" i="6"/>
  <c r="I1437" i="6"/>
  <c r="I1441" i="6"/>
  <c r="I1432" i="6"/>
  <c r="I1434" i="6" s="1"/>
  <c r="I1422" i="6"/>
  <c r="I1452" i="6"/>
  <c r="I1451" i="6"/>
  <c r="I1450" i="6"/>
  <c r="I1449" i="6"/>
  <c r="I1448" i="6"/>
  <c r="I1421" i="6"/>
  <c r="I1411" i="6"/>
  <c r="I1395" i="6"/>
  <c r="I1403" i="6"/>
  <c r="J1525" i="6"/>
  <c r="H1525" i="6"/>
  <c r="J1497" i="6"/>
  <c r="J1498" i="6" s="1"/>
  <c r="H1497" i="6"/>
  <c r="H1498" i="6" s="1"/>
  <c r="I1487" i="6"/>
  <c r="I1486" i="6"/>
  <c r="J1481" i="6"/>
  <c r="H1481" i="6"/>
  <c r="I1478" i="6"/>
  <c r="I1472" i="6"/>
  <c r="J1459" i="6"/>
  <c r="H1459" i="6"/>
  <c r="I1456" i="6"/>
  <c r="I1455" i="6"/>
  <c r="I1454" i="6"/>
  <c r="J1446" i="6"/>
  <c r="I1446" i="6"/>
  <c r="H1446" i="6"/>
  <c r="J1442" i="6"/>
  <c r="H1442" i="6"/>
  <c r="I1440" i="6"/>
  <c r="J1438" i="6"/>
  <c r="H1438" i="6"/>
  <c r="J1434" i="6"/>
  <c r="H1434" i="6"/>
  <c r="J1423" i="6"/>
  <c r="H1423" i="6"/>
  <c r="I1412" i="6"/>
  <c r="I1409" i="6"/>
  <c r="I1401" i="6"/>
  <c r="J1399" i="6"/>
  <c r="H1399" i="6"/>
  <c r="I1398" i="6"/>
  <c r="I1396" i="6"/>
  <c r="I1394" i="6"/>
  <c r="F959" i="3"/>
  <c r="B958" i="3"/>
  <c r="B955" i="3"/>
  <c r="B951" i="3"/>
  <c r="B946" i="3"/>
  <c r="B945" i="3"/>
  <c r="B944" i="3"/>
  <c r="B933" i="3"/>
  <c r="A933" i="3"/>
  <c r="B932" i="3"/>
  <c r="A932" i="3"/>
  <c r="A931" i="3"/>
  <c r="A930" i="3"/>
  <c r="A929" i="3"/>
  <c r="A928" i="3"/>
  <c r="A927" i="3"/>
  <c r="B908" i="3"/>
  <c r="B907" i="3"/>
  <c r="B906" i="3"/>
  <c r="B904" i="3"/>
  <c r="B903" i="3"/>
  <c r="F891" i="3"/>
  <c r="A891" i="3"/>
  <c r="B849" i="3"/>
  <c r="B830" i="3"/>
  <c r="B829" i="3"/>
  <c r="B828" i="3"/>
  <c r="B827" i="3"/>
  <c r="B842" i="3"/>
  <c r="B841" i="3"/>
  <c r="B697" i="3"/>
  <c r="B599" i="3"/>
  <c r="B405" i="3"/>
  <c r="B305" i="3"/>
  <c r="B811" i="3"/>
  <c r="B713" i="3"/>
  <c r="B615" i="3"/>
  <c r="B518" i="3"/>
  <c r="B560" i="3"/>
  <c r="B702" i="3"/>
  <c r="B652" i="3"/>
  <c r="B658" i="3"/>
  <c r="B604" i="3"/>
  <c r="B410" i="3"/>
  <c r="B421" i="3"/>
  <c r="B310" i="3"/>
  <c r="B322" i="3"/>
  <c r="B212" i="3"/>
  <c r="B224" i="3"/>
  <c r="B115" i="3"/>
  <c r="B27" i="3"/>
  <c r="F27" i="3"/>
  <c r="B809" i="3"/>
  <c r="B808" i="3"/>
  <c r="F800" i="3"/>
  <c r="F818" i="3" s="1"/>
  <c r="B787" i="3"/>
  <c r="D483" i="2"/>
  <c r="D496" i="2" s="1"/>
  <c r="C496" i="2"/>
  <c r="D427" i="2"/>
  <c r="D440" i="2" s="1"/>
  <c r="C440" i="2"/>
  <c r="D371" i="2"/>
  <c r="D384" i="2" s="1"/>
  <c r="C384" i="2"/>
  <c r="C326" i="2"/>
  <c r="D314" i="2"/>
  <c r="D326" i="2" s="1"/>
  <c r="I311" i="6"/>
  <c r="I316" i="6" s="1"/>
  <c r="J316" i="6"/>
  <c r="J150" i="6"/>
  <c r="I150" i="6"/>
  <c r="I1183" i="6"/>
  <c r="I1193" i="6" s="1"/>
  <c r="J1193" i="6"/>
  <c r="H1193" i="6"/>
  <c r="I1029" i="6"/>
  <c r="J1029" i="6"/>
  <c r="H1029" i="6"/>
  <c r="J1360" i="6"/>
  <c r="H1360" i="6"/>
  <c r="I1360" i="6"/>
  <c r="F860" i="3"/>
  <c r="B859" i="3"/>
  <c r="B858" i="3"/>
  <c r="B856" i="3"/>
  <c r="B854" i="3"/>
  <c r="B853" i="3"/>
  <c r="B852" i="3"/>
  <c r="B847" i="3"/>
  <c r="B846" i="3"/>
  <c r="B845" i="3"/>
  <c r="F838" i="3"/>
  <c r="A834" i="3"/>
  <c r="B833" i="3"/>
  <c r="A833" i="3"/>
  <c r="A832" i="3"/>
  <c r="A831" i="3"/>
  <c r="A830" i="3"/>
  <c r="A829" i="3"/>
  <c r="A828" i="3"/>
  <c r="B817" i="3"/>
  <c r="B810" i="3"/>
  <c r="B806" i="3"/>
  <c r="B805" i="3"/>
  <c r="B803" i="3"/>
  <c r="B802" i="3"/>
  <c r="F792" i="3"/>
  <c r="A792" i="3"/>
  <c r="B791" i="3"/>
  <c r="B788" i="3"/>
  <c r="B786" i="3"/>
  <c r="I1287" i="6"/>
  <c r="I1236" i="6"/>
  <c r="B733" i="3"/>
  <c r="B729" i="3"/>
  <c r="B711" i="3"/>
  <c r="B710" i="3"/>
  <c r="B744" i="3"/>
  <c r="B743" i="3"/>
  <c r="B735" i="3"/>
  <c r="B734" i="3"/>
  <c r="B732" i="3"/>
  <c r="B731" i="3"/>
  <c r="B692" i="3"/>
  <c r="B755" i="3"/>
  <c r="B751" i="3"/>
  <c r="B750" i="3"/>
  <c r="B704" i="3"/>
  <c r="B705" i="3"/>
  <c r="B606" i="3"/>
  <c r="B759" i="3"/>
  <c r="I1123" i="6"/>
  <c r="I1072" i="6"/>
  <c r="B635" i="3"/>
  <c r="I956" i="6"/>
  <c r="I905" i="6"/>
  <c r="B594" i="3"/>
  <c r="B441" i="3"/>
  <c r="B536" i="3"/>
  <c r="F497" i="3"/>
  <c r="I839" i="6"/>
  <c r="J839" i="6"/>
  <c r="J810" i="6"/>
  <c r="B400" i="3"/>
  <c r="J531" i="6"/>
  <c r="J693" i="6"/>
  <c r="I722" i="6"/>
  <c r="J722" i="6"/>
  <c r="I671" i="6"/>
  <c r="I509" i="6"/>
  <c r="I560" i="6"/>
  <c r="J560" i="6"/>
  <c r="B300" i="3"/>
  <c r="F300" i="3"/>
  <c r="B295" i="3"/>
  <c r="F295" i="3"/>
  <c r="B197" i="3"/>
  <c r="J363" i="6"/>
  <c r="B202" i="3"/>
  <c r="I392" i="6"/>
  <c r="I229" i="6"/>
  <c r="I1481" i="6" l="1"/>
  <c r="I1438" i="6"/>
  <c r="H1482" i="6"/>
  <c r="B891" i="3"/>
  <c r="F918" i="3"/>
  <c r="F919" i="3" s="1"/>
  <c r="B937" i="3"/>
  <c r="B959" i="3"/>
  <c r="A937" i="3"/>
  <c r="B918" i="3"/>
  <c r="I1497" i="6"/>
  <c r="I1498" i="6" s="1"/>
  <c r="I1442" i="6"/>
  <c r="I1459" i="6"/>
  <c r="I1423" i="6"/>
  <c r="I1399" i="6"/>
  <c r="J1482" i="6"/>
  <c r="J1499" i="6" s="1"/>
  <c r="J1526" i="6" s="1"/>
  <c r="F960" i="3"/>
  <c r="B838" i="3"/>
  <c r="B860" i="3"/>
  <c r="B792" i="3"/>
  <c r="B818" i="3"/>
  <c r="A838" i="3"/>
  <c r="F861" i="3"/>
  <c r="F819" i="3"/>
  <c r="I1322" i="6"/>
  <c r="I1321" i="6"/>
  <c r="I1293" i="6"/>
  <c r="I1291" i="6"/>
  <c r="I1289" i="6"/>
  <c r="I1285" i="6"/>
  <c r="I1286" i="6"/>
  <c r="I1284" i="6"/>
  <c r="I1283" i="6"/>
  <c r="I1272" i="6"/>
  <c r="I1271" i="6"/>
  <c r="I1256" i="6"/>
  <c r="I1246" i="6"/>
  <c r="I1244" i="6"/>
  <c r="I1238" i="6"/>
  <c r="I1230" i="6"/>
  <c r="J1332" i="6"/>
  <c r="J1333" i="6" s="1"/>
  <c r="H1332" i="6"/>
  <c r="H1333" i="6" s="1"/>
  <c r="I1327" i="6"/>
  <c r="I1326" i="6"/>
  <c r="I1325" i="6"/>
  <c r="J1316" i="6"/>
  <c r="H1316" i="6"/>
  <c r="I1313" i="6"/>
  <c r="I1310" i="6"/>
  <c r="I1309" i="6"/>
  <c r="I1307" i="6"/>
  <c r="J1294" i="6"/>
  <c r="H1294" i="6"/>
  <c r="I1290" i="6"/>
  <c r="J1281" i="6"/>
  <c r="I1281" i="6"/>
  <c r="H1281" i="6"/>
  <c r="J1277" i="6"/>
  <c r="H1277" i="6"/>
  <c r="I1276" i="6"/>
  <c r="I1275" i="6"/>
  <c r="J1273" i="6"/>
  <c r="H1273" i="6"/>
  <c r="J1269" i="6"/>
  <c r="H1269" i="6"/>
  <c r="I1267" i="6"/>
  <c r="I1269" i="6" s="1"/>
  <c r="J1258" i="6"/>
  <c r="H1258" i="6"/>
  <c r="I1257" i="6"/>
  <c r="I1247" i="6"/>
  <c r="J1234" i="6"/>
  <c r="H1234" i="6"/>
  <c r="I1233" i="6"/>
  <c r="I1231" i="6"/>
  <c r="I1229" i="6"/>
  <c r="B919" i="3" l="1"/>
  <c r="B960" i="3"/>
  <c r="F962" i="3"/>
  <c r="I1482" i="6"/>
  <c r="I1499" i="6" s="1"/>
  <c r="I1526" i="6" s="1"/>
  <c r="B861" i="3"/>
  <c r="B819" i="3"/>
  <c r="F863" i="3"/>
  <c r="I1332" i="6"/>
  <c r="I1333" i="6" s="1"/>
  <c r="H1317" i="6"/>
  <c r="I1277" i="6"/>
  <c r="I1316" i="6"/>
  <c r="I1294" i="6"/>
  <c r="I1273" i="6"/>
  <c r="I1258" i="6"/>
  <c r="I1234" i="6"/>
  <c r="J1317" i="6"/>
  <c r="J1334" i="6" s="1"/>
  <c r="J1361" i="6" s="1"/>
  <c r="B343" i="3"/>
  <c r="B730" i="3"/>
  <c r="B718" i="3"/>
  <c r="B690" i="3"/>
  <c r="B689" i="3"/>
  <c r="B686" i="3"/>
  <c r="I902" i="6"/>
  <c r="B962" i="3" l="1"/>
  <c r="B963" i="3" s="1"/>
  <c r="B863" i="3"/>
  <c r="B864" i="3" s="1"/>
  <c r="I1317" i="6"/>
  <c r="I1334" i="6" s="1"/>
  <c r="I1361" i="6" s="1"/>
  <c r="I978" i="6"/>
  <c r="B693" i="3"/>
  <c r="B595" i="3"/>
  <c r="I1144" i="6"/>
  <c r="I977" i="6"/>
  <c r="I1157" i="6"/>
  <c r="I1156" i="6"/>
  <c r="I1129" i="6"/>
  <c r="I1069" i="6"/>
  <c r="I1065" i="6"/>
  <c r="I1119" i="6"/>
  <c r="I1127" i="6"/>
  <c r="I1162" i="6"/>
  <c r="I1161" i="6"/>
  <c r="I1160" i="6"/>
  <c r="I1148" i="6"/>
  <c r="I1145" i="6"/>
  <c r="B760" i="3"/>
  <c r="B758" i="3"/>
  <c r="B756" i="3"/>
  <c r="B754" i="3"/>
  <c r="B749" i="3"/>
  <c r="B748" i="3"/>
  <c r="B747" i="3"/>
  <c r="F761" i="3"/>
  <c r="F740" i="3"/>
  <c r="A736" i="3"/>
  <c r="A735" i="3"/>
  <c r="A734" i="3"/>
  <c r="A733" i="3"/>
  <c r="A732" i="3"/>
  <c r="A731" i="3"/>
  <c r="A730" i="3"/>
  <c r="B712" i="3"/>
  <c r="B708" i="3"/>
  <c r="B707" i="3"/>
  <c r="F719" i="3"/>
  <c r="F694" i="3"/>
  <c r="A694" i="3"/>
  <c r="B688" i="3"/>
  <c r="B607" i="3"/>
  <c r="F604" i="3"/>
  <c r="B510" i="3"/>
  <c r="B413" i="3"/>
  <c r="F410" i="3"/>
  <c r="B313" i="3"/>
  <c r="B314" i="3"/>
  <c r="F310" i="3"/>
  <c r="F314" i="3"/>
  <c r="B216" i="3"/>
  <c r="F212" i="3"/>
  <c r="F606" i="3"/>
  <c r="B588" i="3"/>
  <c r="I993" i="6"/>
  <c r="I994" i="6"/>
  <c r="I995" i="6"/>
  <c r="I990" i="6"/>
  <c r="I989" i="6"/>
  <c r="I952" i="6"/>
  <c r="I962" i="6"/>
  <c r="J962" i="6"/>
  <c r="I981" i="6"/>
  <c r="B694" i="3" l="1"/>
  <c r="A740" i="3"/>
  <c r="B719" i="3"/>
  <c r="B740" i="3"/>
  <c r="B761" i="3"/>
  <c r="F762" i="3"/>
  <c r="F720" i="3"/>
  <c r="I1082" i="6"/>
  <c r="I1092" i="6"/>
  <c r="I1107" i="6"/>
  <c r="I1108" i="6"/>
  <c r="I1111" i="6"/>
  <c r="I1126" i="6"/>
  <c r="I1120" i="6"/>
  <c r="I1121" i="6"/>
  <c r="I1122" i="6"/>
  <c r="I1093" i="6"/>
  <c r="J1130" i="6"/>
  <c r="J1070" i="6"/>
  <c r="I1074" i="6"/>
  <c r="I1066" i="6"/>
  <c r="J1167" i="6"/>
  <c r="J1168" i="6" s="1"/>
  <c r="H1167" i="6"/>
  <c r="H1168" i="6" s="1"/>
  <c r="I1167" i="6"/>
  <c r="I1168" i="6" s="1"/>
  <c r="J1151" i="6"/>
  <c r="H1151" i="6"/>
  <c r="I1142" i="6"/>
  <c r="I1151" i="6" s="1"/>
  <c r="H1130" i="6"/>
  <c r="J1117" i="6"/>
  <c r="I1117" i="6"/>
  <c r="H1117" i="6"/>
  <c r="J1113" i="6"/>
  <c r="H1113" i="6"/>
  <c r="I1112" i="6"/>
  <c r="J1109" i="6"/>
  <c r="H1109" i="6"/>
  <c r="J1105" i="6"/>
  <c r="H1105" i="6"/>
  <c r="I1103" i="6"/>
  <c r="I1105" i="6" s="1"/>
  <c r="J1094" i="6"/>
  <c r="H1094" i="6"/>
  <c r="I1083" i="6"/>
  <c r="I1080" i="6"/>
  <c r="H1070" i="6"/>
  <c r="I1067" i="6"/>
  <c r="I1070" i="6" s="1"/>
  <c r="B660" i="3"/>
  <c r="B657" i="3"/>
  <c r="B653" i="3"/>
  <c r="B634" i="3"/>
  <c r="B633" i="3"/>
  <c r="B632" i="3"/>
  <c r="B631" i="3"/>
  <c r="B646" i="3"/>
  <c r="B645" i="3"/>
  <c r="F645" i="3"/>
  <c r="F663" i="3" s="1"/>
  <c r="B630" i="3"/>
  <c r="B636" i="3"/>
  <c r="B548" i="3"/>
  <c r="B614" i="3"/>
  <c r="B613" i="3"/>
  <c r="B612" i="3"/>
  <c r="I925" i="6"/>
  <c r="B592" i="3"/>
  <c r="B590" i="3"/>
  <c r="B591" i="3"/>
  <c r="F536" i="3"/>
  <c r="F544" i="3" s="1"/>
  <c r="B553" i="3"/>
  <c r="B662" i="3"/>
  <c r="B656" i="3"/>
  <c r="B651" i="3"/>
  <c r="B650" i="3"/>
  <c r="B649" i="3"/>
  <c r="A638" i="3"/>
  <c r="B637" i="3"/>
  <c r="A637" i="3"/>
  <c r="A636" i="3"/>
  <c r="A635" i="3"/>
  <c r="F642" i="3"/>
  <c r="A634" i="3"/>
  <c r="A633" i="3"/>
  <c r="A632" i="3"/>
  <c r="B610" i="3"/>
  <c r="B609" i="3"/>
  <c r="F621" i="3"/>
  <c r="F596" i="3"/>
  <c r="A596" i="3"/>
  <c r="J927" i="6"/>
  <c r="I945" i="6"/>
  <c r="I944" i="6"/>
  <c r="I941" i="6"/>
  <c r="I940" i="6"/>
  <c r="I926" i="6"/>
  <c r="I915" i="6"/>
  <c r="I907" i="6"/>
  <c r="I900" i="6"/>
  <c r="I899" i="6"/>
  <c r="I898" i="6"/>
  <c r="J1000" i="6"/>
  <c r="J1001" i="6" s="1"/>
  <c r="H1000" i="6"/>
  <c r="H1001" i="6" s="1"/>
  <c r="J984" i="6"/>
  <c r="H984" i="6"/>
  <c r="I975" i="6"/>
  <c r="J963" i="6"/>
  <c r="H963" i="6"/>
  <c r="I960" i="6"/>
  <c r="I959" i="6"/>
  <c r="I955" i="6"/>
  <c r="I954" i="6"/>
  <c r="I953" i="6"/>
  <c r="J950" i="6"/>
  <c r="I950" i="6"/>
  <c r="H950" i="6"/>
  <c r="J946" i="6"/>
  <c r="H946" i="6"/>
  <c r="J942" i="6"/>
  <c r="H942" i="6"/>
  <c r="J938" i="6"/>
  <c r="H938" i="6"/>
  <c r="I936" i="6"/>
  <c r="I938" i="6" s="1"/>
  <c r="H927" i="6"/>
  <c r="I916" i="6"/>
  <c r="I913" i="6"/>
  <c r="J903" i="6"/>
  <c r="H903" i="6"/>
  <c r="F564" i="3"/>
  <c r="B552" i="3"/>
  <c r="B551" i="3"/>
  <c r="B555" i="3"/>
  <c r="B559" i="3"/>
  <c r="B535" i="3"/>
  <c r="B534" i="3"/>
  <c r="B533" i="3"/>
  <c r="B539" i="3"/>
  <c r="B517" i="3"/>
  <c r="B563" i="3"/>
  <c r="B558" i="3"/>
  <c r="B547" i="3"/>
  <c r="A540" i="3"/>
  <c r="A539" i="3"/>
  <c r="A538" i="3"/>
  <c r="A537" i="3"/>
  <c r="A536" i="3"/>
  <c r="A535" i="3"/>
  <c r="A534" i="3"/>
  <c r="B516" i="3"/>
  <c r="B515" i="3"/>
  <c r="B513" i="3"/>
  <c r="B512" i="3"/>
  <c r="B509" i="3"/>
  <c r="F524" i="3"/>
  <c r="F499" i="3"/>
  <c r="A499" i="3"/>
  <c r="B498" i="3"/>
  <c r="B495" i="3"/>
  <c r="D258" i="2"/>
  <c r="D270" i="2" s="1"/>
  <c r="C270" i="2"/>
  <c r="D204" i="2"/>
  <c r="D215" i="2" s="1"/>
  <c r="C215" i="2"/>
  <c r="D147" i="2"/>
  <c r="D158" i="2" s="1"/>
  <c r="C158" i="2"/>
  <c r="D90" i="2"/>
  <c r="D101" i="2" s="1"/>
  <c r="C101" i="2"/>
  <c r="B720" i="3" l="1"/>
  <c r="B762" i="3"/>
  <c r="I1113" i="6"/>
  <c r="I927" i="6"/>
  <c r="I1109" i="6"/>
  <c r="B544" i="3"/>
  <c r="I1094" i="6"/>
  <c r="I1130" i="6"/>
  <c r="H1152" i="6"/>
  <c r="J1152" i="6"/>
  <c r="J1169" i="6" s="1"/>
  <c r="J1194" i="6" s="1"/>
  <c r="I946" i="6"/>
  <c r="F764" i="3"/>
  <c r="I942" i="6"/>
  <c r="J985" i="6"/>
  <c r="J1002" i="6" s="1"/>
  <c r="J1030" i="6" s="1"/>
  <c r="I903" i="6"/>
  <c r="H985" i="6"/>
  <c r="I984" i="6"/>
  <c r="I963" i="6"/>
  <c r="A544" i="3"/>
  <c r="B564" i="3"/>
  <c r="B499" i="3"/>
  <c r="B524" i="3"/>
  <c r="B596" i="3"/>
  <c r="B621" i="3"/>
  <c r="B642" i="3"/>
  <c r="B663" i="3"/>
  <c r="A642" i="3"/>
  <c r="F622" i="3"/>
  <c r="F664" i="3"/>
  <c r="I1000" i="6"/>
  <c r="I1001" i="6" s="1"/>
  <c r="F565" i="3"/>
  <c r="F525" i="3"/>
  <c r="D38" i="2"/>
  <c r="D47" i="2" s="1"/>
  <c r="B764" i="3" l="1"/>
  <c r="B765" i="3" s="1"/>
  <c r="B565" i="3"/>
  <c r="I1152" i="6"/>
  <c r="I1169" i="6" s="1"/>
  <c r="I1194" i="6" s="1"/>
  <c r="B664" i="3"/>
  <c r="B525" i="3"/>
  <c r="I985" i="6"/>
  <c r="I1002" i="6" s="1"/>
  <c r="I1030" i="6" s="1"/>
  <c r="B622" i="3"/>
  <c r="F666" i="3"/>
  <c r="F567" i="3"/>
  <c r="C47" i="2"/>
  <c r="I823" i="6"/>
  <c r="I782" i="6"/>
  <c r="I845" i="6"/>
  <c r="I843" i="6"/>
  <c r="I838" i="6"/>
  <c r="I837" i="6"/>
  <c r="I836" i="6"/>
  <c r="I835" i="6"/>
  <c r="I824" i="6"/>
  <c r="I819" i="6"/>
  <c r="I809" i="6"/>
  <c r="I808" i="6"/>
  <c r="I798" i="6"/>
  <c r="I796" i="6"/>
  <c r="I790" i="6"/>
  <c r="I783" i="6"/>
  <c r="I781" i="6"/>
  <c r="C154" i="5"/>
  <c r="C157" i="5" s="1"/>
  <c r="C107" i="5"/>
  <c r="C106" i="5"/>
  <c r="C103" i="5"/>
  <c r="C102" i="5"/>
  <c r="C99" i="5"/>
  <c r="C51" i="5"/>
  <c r="C33" i="5"/>
  <c r="C149" i="5"/>
  <c r="C121" i="5"/>
  <c r="C110" i="5"/>
  <c r="C109" i="5"/>
  <c r="C71" i="5"/>
  <c r="C36" i="5"/>
  <c r="C35" i="5"/>
  <c r="C34" i="5"/>
  <c r="C30" i="5"/>
  <c r="C29" i="5"/>
  <c r="C28" i="5"/>
  <c r="C27" i="5"/>
  <c r="C26" i="5"/>
  <c r="C176" i="5"/>
  <c r="C124" i="5"/>
  <c r="C100" i="5"/>
  <c r="C31" i="5"/>
  <c r="C24" i="5"/>
  <c r="C16" i="5"/>
  <c r="J824" i="6"/>
  <c r="J825" i="6" s="1"/>
  <c r="J883" i="6"/>
  <c r="J884" i="6" s="1"/>
  <c r="H883" i="6"/>
  <c r="H884" i="6" s="1"/>
  <c r="I878" i="6"/>
  <c r="I877" i="6"/>
  <c r="I876" i="6"/>
  <c r="I873" i="6"/>
  <c r="I872" i="6"/>
  <c r="J867" i="6"/>
  <c r="H867" i="6"/>
  <c r="I864" i="6"/>
  <c r="I861" i="6"/>
  <c r="I860" i="6"/>
  <c r="I858" i="6"/>
  <c r="J846" i="6"/>
  <c r="H846" i="6"/>
  <c r="I842" i="6"/>
  <c r="J833" i="6"/>
  <c r="I833" i="6"/>
  <c r="H833" i="6"/>
  <c r="J829" i="6"/>
  <c r="H829" i="6"/>
  <c r="I827" i="6"/>
  <c r="I829" i="6" s="1"/>
  <c r="H825" i="6"/>
  <c r="J821" i="6"/>
  <c r="I821" i="6"/>
  <c r="H821" i="6"/>
  <c r="H810" i="6"/>
  <c r="I799" i="6"/>
  <c r="H786" i="6"/>
  <c r="I785" i="6"/>
  <c r="I726" i="6"/>
  <c r="F427" i="3"/>
  <c r="B462" i="3"/>
  <c r="B454" i="3"/>
  <c r="B455" i="3"/>
  <c r="B459" i="3"/>
  <c r="B458" i="3"/>
  <c r="B456" i="3"/>
  <c r="B463" i="3"/>
  <c r="B442" i="3"/>
  <c r="B440" i="3"/>
  <c r="B439" i="3"/>
  <c r="B438" i="3"/>
  <c r="B437" i="3"/>
  <c r="B436" i="3"/>
  <c r="B452" i="3"/>
  <c r="B451" i="3"/>
  <c r="B420" i="3"/>
  <c r="B397" i="3"/>
  <c r="B394" i="3"/>
  <c r="I725" i="6"/>
  <c r="I707" i="6"/>
  <c r="I706" i="6"/>
  <c r="I721" i="6"/>
  <c r="I720" i="6"/>
  <c r="I719" i="6"/>
  <c r="I718" i="6"/>
  <c r="I679" i="6"/>
  <c r="I668" i="6"/>
  <c r="I665" i="6"/>
  <c r="J766" i="6"/>
  <c r="J767" i="6" s="1"/>
  <c r="H766" i="6"/>
  <c r="H767" i="6" s="1"/>
  <c r="I761" i="6"/>
  <c r="I760" i="6"/>
  <c r="I759" i="6"/>
  <c r="I756" i="6"/>
  <c r="I755" i="6"/>
  <c r="J750" i="6"/>
  <c r="H750" i="6"/>
  <c r="I747" i="6"/>
  <c r="I744" i="6"/>
  <c r="I743" i="6"/>
  <c r="I741" i="6"/>
  <c r="J729" i="6"/>
  <c r="H729" i="6"/>
  <c r="J716" i="6"/>
  <c r="I716" i="6"/>
  <c r="H716" i="6"/>
  <c r="J712" i="6"/>
  <c r="H712" i="6"/>
  <c r="I710" i="6"/>
  <c r="I712" i="6" s="1"/>
  <c r="J708" i="6"/>
  <c r="H708" i="6"/>
  <c r="J704" i="6"/>
  <c r="I704" i="6"/>
  <c r="H704" i="6"/>
  <c r="H693" i="6"/>
  <c r="I692" i="6"/>
  <c r="I691" i="6"/>
  <c r="I682" i="6"/>
  <c r="I681" i="6"/>
  <c r="I673" i="6"/>
  <c r="J669" i="6"/>
  <c r="H669" i="6"/>
  <c r="F467" i="3"/>
  <c r="B466" i="3"/>
  <c r="B464" i="3"/>
  <c r="B457" i="3"/>
  <c r="A444" i="3"/>
  <c r="B443" i="3"/>
  <c r="A443" i="3"/>
  <c r="A442" i="3"/>
  <c r="A441" i="3"/>
  <c r="A440" i="3"/>
  <c r="A439" i="3"/>
  <c r="A438" i="3"/>
  <c r="F448" i="3"/>
  <c r="B419" i="3"/>
  <c r="B418" i="3"/>
  <c r="B416" i="3"/>
  <c r="B415" i="3"/>
  <c r="B412" i="3"/>
  <c r="F402" i="3"/>
  <c r="A402" i="3"/>
  <c r="B401" i="3"/>
  <c r="B398" i="3"/>
  <c r="F340" i="3"/>
  <c r="B338" i="3"/>
  <c r="F338" i="3"/>
  <c r="F342" i="3"/>
  <c r="B342" i="3"/>
  <c r="B240" i="3"/>
  <c r="B241" i="3"/>
  <c r="B243" i="3"/>
  <c r="B244" i="3"/>
  <c r="B245" i="3"/>
  <c r="B246" i="3"/>
  <c r="B255" i="3"/>
  <c r="B256" i="3"/>
  <c r="B258" i="3"/>
  <c r="B262" i="3"/>
  <c r="B263" i="3"/>
  <c r="B268" i="3"/>
  <c r="F327" i="3"/>
  <c r="B316" i="3"/>
  <c r="B317" i="3"/>
  <c r="B319" i="3"/>
  <c r="B320" i="3"/>
  <c r="B365" i="3"/>
  <c r="B361" i="3"/>
  <c r="B360" i="3"/>
  <c r="B345" i="3"/>
  <c r="B344" i="3"/>
  <c r="B366" i="3"/>
  <c r="B354" i="3"/>
  <c r="B353" i="3"/>
  <c r="B341" i="3"/>
  <c r="B339" i="3"/>
  <c r="F360" i="3"/>
  <c r="F369" i="3" s="1"/>
  <c r="B294" i="3"/>
  <c r="I503" i="6"/>
  <c r="I507" i="6" s="1"/>
  <c r="J507" i="6"/>
  <c r="F302" i="3"/>
  <c r="B301" i="3"/>
  <c r="B297" i="3"/>
  <c r="B368" i="3"/>
  <c r="B359" i="3"/>
  <c r="B357" i="3"/>
  <c r="B356" i="3"/>
  <c r="A346" i="3"/>
  <c r="A345" i="3"/>
  <c r="A344" i="3"/>
  <c r="A343" i="3"/>
  <c r="A342" i="3"/>
  <c r="A341" i="3"/>
  <c r="A340" i="3"/>
  <c r="A302" i="3"/>
  <c r="B298" i="3"/>
  <c r="I628" i="6"/>
  <c r="J628" i="6"/>
  <c r="J637" i="6" s="1"/>
  <c r="J638" i="6" s="1"/>
  <c r="I630" i="6"/>
  <c r="I629" i="6"/>
  <c r="I625" i="6"/>
  <c r="I624" i="6"/>
  <c r="I583" i="6"/>
  <c r="I582" i="6"/>
  <c r="I586" i="6"/>
  <c r="I580" i="6"/>
  <c r="I564" i="6"/>
  <c r="I545" i="6"/>
  <c r="I544" i="6"/>
  <c r="I530" i="6"/>
  <c r="I529" i="6"/>
  <c r="I559" i="6"/>
  <c r="I558" i="6"/>
  <c r="I557" i="6"/>
  <c r="I556" i="6"/>
  <c r="I520" i="6"/>
  <c r="I519" i="6"/>
  <c r="I517" i="6"/>
  <c r="I511" i="6"/>
  <c r="H637" i="6"/>
  <c r="H638" i="6" s="1"/>
  <c r="J590" i="6"/>
  <c r="H590" i="6"/>
  <c r="J567" i="6"/>
  <c r="H567" i="6"/>
  <c r="J554" i="6"/>
  <c r="I554" i="6"/>
  <c r="H554" i="6"/>
  <c r="J550" i="6"/>
  <c r="H550" i="6"/>
  <c r="I548" i="6"/>
  <c r="I550" i="6" s="1"/>
  <c r="J546" i="6"/>
  <c r="H546" i="6"/>
  <c r="J542" i="6"/>
  <c r="I542" i="6"/>
  <c r="H542" i="6"/>
  <c r="H531" i="6"/>
  <c r="H507" i="6"/>
  <c r="F229" i="3"/>
  <c r="B219" i="3"/>
  <c r="B207" i="3"/>
  <c r="B200" i="3"/>
  <c r="B199" i="3"/>
  <c r="B196" i="3"/>
  <c r="F271" i="3"/>
  <c r="B270" i="3"/>
  <c r="B261" i="3"/>
  <c r="B259" i="3"/>
  <c r="F252" i="3"/>
  <c r="A248" i="3"/>
  <c r="A247" i="3"/>
  <c r="A246" i="3"/>
  <c r="A245" i="3"/>
  <c r="A244" i="3"/>
  <c r="A243" i="3"/>
  <c r="A242" i="3"/>
  <c r="B218" i="3"/>
  <c r="B215" i="3"/>
  <c r="F204" i="3"/>
  <c r="A204" i="3"/>
  <c r="J399" i="6"/>
  <c r="I388" i="6"/>
  <c r="I396" i="6"/>
  <c r="I380" i="6"/>
  <c r="I382" i="6" s="1"/>
  <c r="I377" i="6"/>
  <c r="I376" i="6"/>
  <c r="I362" i="6"/>
  <c r="I361" i="6"/>
  <c r="I352" i="6"/>
  <c r="I349" i="6"/>
  <c r="I343" i="6"/>
  <c r="I335" i="6"/>
  <c r="I339" i="6" s="1"/>
  <c r="J469" i="6"/>
  <c r="J470" i="6" s="1"/>
  <c r="H469" i="6"/>
  <c r="H470" i="6" s="1"/>
  <c r="I462" i="6"/>
  <c r="I461" i="6"/>
  <c r="J422" i="6"/>
  <c r="I422" i="6"/>
  <c r="H422" i="6"/>
  <c r="H399" i="6"/>
  <c r="I391" i="6"/>
  <c r="I389" i="6"/>
  <c r="J386" i="6"/>
  <c r="I386" i="6"/>
  <c r="H386" i="6"/>
  <c r="J382" i="6"/>
  <c r="H382" i="6"/>
  <c r="J378" i="6"/>
  <c r="H378" i="6"/>
  <c r="J374" i="6"/>
  <c r="I374" i="6"/>
  <c r="H374" i="6"/>
  <c r="H363" i="6"/>
  <c r="J339" i="6"/>
  <c r="H339" i="6"/>
  <c r="C117" i="5" l="1"/>
  <c r="I531" i="6"/>
  <c r="I363" i="6"/>
  <c r="I693" i="6"/>
  <c r="I810" i="6"/>
  <c r="B567" i="3"/>
  <c r="B568" i="3" s="1"/>
  <c r="B666" i="3"/>
  <c r="B667" i="3" s="1"/>
  <c r="I669" i="6"/>
  <c r="I825" i="6"/>
  <c r="H868" i="6"/>
  <c r="I786" i="6"/>
  <c r="I867" i="6"/>
  <c r="I883" i="6"/>
  <c r="I884" i="6" s="1"/>
  <c r="I708" i="6"/>
  <c r="I846" i="6"/>
  <c r="J786" i="6"/>
  <c r="J868" i="6" s="1"/>
  <c r="J885" i="6" s="1"/>
  <c r="B369" i="3"/>
  <c r="F350" i="3"/>
  <c r="F370" i="3" s="1"/>
  <c r="A448" i="3"/>
  <c r="B229" i="3"/>
  <c r="B467" i="3"/>
  <c r="A252" i="3"/>
  <c r="B271" i="3"/>
  <c r="B204" i="3"/>
  <c r="B252" i="3"/>
  <c r="B448" i="3"/>
  <c r="B427" i="3"/>
  <c r="B402" i="3"/>
  <c r="I750" i="6"/>
  <c r="H751" i="6"/>
  <c r="I766" i="6"/>
  <c r="I767" i="6" s="1"/>
  <c r="I378" i="6"/>
  <c r="I729" i="6"/>
  <c r="J751" i="6"/>
  <c r="J768" i="6" s="1"/>
  <c r="I637" i="6"/>
  <c r="I638" i="6" s="1"/>
  <c r="I546" i="6"/>
  <c r="I567" i="6"/>
  <c r="I590" i="6"/>
  <c r="H423" i="6"/>
  <c r="H591" i="6"/>
  <c r="F428" i="3"/>
  <c r="F468" i="3"/>
  <c r="B302" i="3"/>
  <c r="J591" i="6"/>
  <c r="J639" i="6" s="1"/>
  <c r="B327" i="3"/>
  <c r="B350" i="3"/>
  <c r="A350" i="3"/>
  <c r="F328" i="3"/>
  <c r="F272" i="3"/>
  <c r="F230" i="3"/>
  <c r="J423" i="6"/>
  <c r="J471" i="6" s="1"/>
  <c r="I399" i="6"/>
  <c r="I469" i="6"/>
  <c r="I470" i="6" s="1"/>
  <c r="B370" i="3" l="1"/>
  <c r="I868" i="6"/>
  <c r="I885" i="6" s="1"/>
  <c r="B272" i="3"/>
  <c r="B230" i="3"/>
  <c r="B468" i="3"/>
  <c r="B328" i="3"/>
  <c r="B428" i="3"/>
  <c r="F470" i="3"/>
  <c r="F471" i="3" s="1"/>
  <c r="F489" i="3" s="1"/>
  <c r="F568" i="3" s="1"/>
  <c r="F586" i="3" s="1"/>
  <c r="F667" i="3" s="1"/>
  <c r="F684" i="3" s="1"/>
  <c r="F765" i="3" s="1"/>
  <c r="F782" i="3" s="1"/>
  <c r="F864" i="3" s="1"/>
  <c r="F881" i="3" s="1"/>
  <c r="F963" i="3" s="1"/>
  <c r="F979" i="3" s="1"/>
  <c r="F1066" i="3" s="1"/>
  <c r="F1125" i="3" s="1"/>
  <c r="F1213" i="3" s="1"/>
  <c r="I591" i="6"/>
  <c r="I639" i="6" s="1"/>
  <c r="I751" i="6"/>
  <c r="I768" i="6" s="1"/>
  <c r="I423" i="6"/>
  <c r="I471" i="6" s="1"/>
  <c r="F372" i="3"/>
  <c r="F373" i="3" s="1"/>
  <c r="F274" i="3"/>
  <c r="F275" i="3" s="1"/>
  <c r="B372" i="3" l="1"/>
  <c r="B373" i="3" s="1"/>
  <c r="B274" i="3"/>
  <c r="B275" i="3" s="1"/>
  <c r="B470" i="3"/>
  <c r="B471" i="3" s="1"/>
  <c r="B172" i="3"/>
  <c r="B165" i="3"/>
  <c r="B162" i="3"/>
  <c r="B164" i="3"/>
  <c r="B149" i="3"/>
  <c r="B147" i="3"/>
  <c r="B146" i="3"/>
  <c r="B144" i="3"/>
  <c r="B143" i="3"/>
  <c r="F115" i="3"/>
  <c r="B121" i="3"/>
  <c r="B119" i="3"/>
  <c r="B118" i="3"/>
  <c r="F118" i="3"/>
  <c r="B105" i="3"/>
  <c r="B102" i="3"/>
  <c r="B100" i="3"/>
  <c r="F173" i="3"/>
  <c r="F155" i="3"/>
  <c r="A151" i="3"/>
  <c r="A150" i="3"/>
  <c r="A149" i="3"/>
  <c r="A148" i="3"/>
  <c r="A147" i="3"/>
  <c r="A146" i="3"/>
  <c r="A145" i="3"/>
  <c r="F107" i="3"/>
  <c r="A107" i="3"/>
  <c r="J176" i="6"/>
  <c r="I176" i="6"/>
  <c r="J200" i="6"/>
  <c r="J215" i="6"/>
  <c r="I219" i="6"/>
  <c r="J236" i="6"/>
  <c r="J259" i="6"/>
  <c r="I259" i="6"/>
  <c r="J306" i="6"/>
  <c r="J307" i="6" s="1"/>
  <c r="I299" i="6"/>
  <c r="I298" i="6"/>
  <c r="I228" i="6"/>
  <c r="I226" i="6"/>
  <c r="I225" i="6"/>
  <c r="I214" i="6"/>
  <c r="I213" i="6"/>
  <c r="I198" i="6"/>
  <c r="I189" i="6"/>
  <c r="I186" i="6"/>
  <c r="I180" i="6"/>
  <c r="H306" i="6"/>
  <c r="H259" i="6"/>
  <c r="H236" i="6"/>
  <c r="J223" i="6"/>
  <c r="I223" i="6"/>
  <c r="H223" i="6"/>
  <c r="J219" i="6"/>
  <c r="H219" i="6"/>
  <c r="H215" i="6"/>
  <c r="J211" i="6"/>
  <c r="I211" i="6"/>
  <c r="H211" i="6"/>
  <c r="H200" i="6"/>
  <c r="H176" i="6"/>
  <c r="H307" i="6" l="1"/>
  <c r="H316" i="6" s="1"/>
  <c r="F132" i="3"/>
  <c r="F133" i="3" s="1"/>
  <c r="B173" i="3"/>
  <c r="J260" i="6"/>
  <c r="J308" i="6" s="1"/>
  <c r="J317" i="6" s="1"/>
  <c r="I236" i="6"/>
  <c r="I200" i="6"/>
  <c r="I215" i="6"/>
  <c r="H260" i="6"/>
  <c r="I306" i="6"/>
  <c r="I307" i="6" s="1"/>
  <c r="A155" i="3"/>
  <c r="B107" i="3"/>
  <c r="B155" i="3"/>
  <c r="F174" i="3"/>
  <c r="B132" i="3"/>
  <c r="B174" i="3" l="1"/>
  <c r="B133" i="3"/>
  <c r="I260" i="6"/>
  <c r="I308" i="6" s="1"/>
  <c r="I317" i="6" s="1"/>
  <c r="F176" i="3"/>
  <c r="F177" i="3" s="1"/>
  <c r="A47" i="3"/>
  <c r="A53" i="3"/>
  <c r="A51" i="3"/>
  <c r="A50" i="3"/>
  <c r="A49" i="3"/>
  <c r="A52" i="3"/>
  <c r="A48" i="3"/>
  <c r="I72" i="6"/>
  <c r="J72" i="6"/>
  <c r="I59" i="6"/>
  <c r="J59" i="6"/>
  <c r="I55" i="6"/>
  <c r="J55" i="6"/>
  <c r="I51" i="6"/>
  <c r="J51" i="6"/>
  <c r="I36" i="6"/>
  <c r="J36" i="6"/>
  <c r="I12" i="6"/>
  <c r="J12" i="6"/>
  <c r="H72" i="6"/>
  <c r="B176" i="3" l="1"/>
  <c r="B177" i="3" s="1"/>
  <c r="A57" i="3"/>
  <c r="B57" i="3"/>
  <c r="F76" i="3"/>
  <c r="F57" i="3"/>
  <c r="F38" i="3"/>
  <c r="F19" i="3"/>
  <c r="B19" i="3"/>
  <c r="J140" i="6"/>
  <c r="J141" i="6" s="1"/>
  <c r="I140" i="6"/>
  <c r="I141" i="6" s="1"/>
  <c r="H140" i="6"/>
  <c r="H141" i="6" l="1"/>
  <c r="H150" i="6" s="1"/>
  <c r="F39" i="3"/>
  <c r="J96" i="6" l="1"/>
  <c r="H96" i="6"/>
  <c r="V142" i="4" l="1"/>
  <c r="S142" i="4"/>
  <c r="R136" i="4"/>
  <c r="N116" i="4"/>
  <c r="G116" i="4"/>
  <c r="G40" i="4"/>
  <c r="D136" i="4"/>
  <c r="W128" i="4"/>
  <c r="W168" i="4" l="1"/>
  <c r="W167" i="4"/>
  <c r="W166" i="4"/>
  <c r="W162" i="4"/>
  <c r="W161" i="4"/>
  <c r="W160" i="4"/>
  <c r="W158" i="4"/>
  <c r="W154" i="4"/>
  <c r="W141" i="4"/>
  <c r="W140" i="4"/>
  <c r="W138" i="4"/>
  <c r="W137" i="4"/>
  <c r="W134" i="4"/>
  <c r="W132" i="4"/>
  <c r="W130" i="4"/>
  <c r="W129" i="4"/>
  <c r="W125" i="4"/>
  <c r="W68" i="4"/>
  <c r="W67" i="4"/>
  <c r="W66" i="4"/>
  <c r="W59" i="4"/>
  <c r="W58" i="4"/>
  <c r="W57" i="4"/>
  <c r="W56" i="4"/>
  <c r="W52" i="4"/>
  <c r="H59" i="6"/>
  <c r="H55" i="6"/>
  <c r="H51" i="6"/>
  <c r="J47" i="6"/>
  <c r="I47" i="6"/>
  <c r="I97" i="6" s="1"/>
  <c r="I142" i="6" s="1"/>
  <c r="I151" i="6" s="1"/>
  <c r="H47" i="6"/>
  <c r="H36" i="6"/>
  <c r="H12" i="6"/>
  <c r="W39" i="4"/>
  <c r="W53" i="4"/>
  <c r="X99" i="5"/>
  <c r="X89" i="5"/>
  <c r="U176" i="5"/>
  <c r="Q176" i="5"/>
  <c r="X175" i="5"/>
  <c r="X174" i="5"/>
  <c r="X173" i="5"/>
  <c r="X172" i="5"/>
  <c r="X171" i="5"/>
  <c r="Q170" i="5"/>
  <c r="X166" i="5"/>
  <c r="X165" i="5"/>
  <c r="X164" i="5"/>
  <c r="X163" i="5"/>
  <c r="T162" i="5"/>
  <c r="S162" i="5"/>
  <c r="R162" i="5"/>
  <c r="G162" i="5"/>
  <c r="W161" i="5"/>
  <c r="V161" i="5"/>
  <c r="T161" i="5"/>
  <c r="S161" i="5"/>
  <c r="R161" i="5"/>
  <c r="P161" i="5"/>
  <c r="N161" i="5"/>
  <c r="M161" i="5"/>
  <c r="K161" i="5"/>
  <c r="J161" i="5"/>
  <c r="I161" i="5"/>
  <c r="H161" i="5"/>
  <c r="G161" i="5"/>
  <c r="F161" i="5"/>
  <c r="E161" i="5"/>
  <c r="D161" i="5"/>
  <c r="X160" i="5"/>
  <c r="V159" i="5"/>
  <c r="U159" i="5"/>
  <c r="U170" i="5" s="1"/>
  <c r="T159" i="5"/>
  <c r="S159" i="5"/>
  <c r="R159" i="5"/>
  <c r="P159" i="5"/>
  <c r="N159" i="5"/>
  <c r="M159" i="5"/>
  <c r="K159" i="5"/>
  <c r="J159" i="5"/>
  <c r="I159" i="5"/>
  <c r="H159" i="5"/>
  <c r="G159" i="5"/>
  <c r="F159" i="5"/>
  <c r="E159" i="5"/>
  <c r="D159" i="5"/>
  <c r="W157" i="5"/>
  <c r="V157" i="5"/>
  <c r="U157" i="5"/>
  <c r="T157" i="5"/>
  <c r="R157" i="5"/>
  <c r="Q157" i="5"/>
  <c r="P157" i="5"/>
  <c r="N157" i="5"/>
  <c r="M157" i="5"/>
  <c r="K157" i="5"/>
  <c r="J157" i="5"/>
  <c r="I157" i="5"/>
  <c r="H157" i="5"/>
  <c r="F157" i="5"/>
  <c r="E157" i="5"/>
  <c r="D157" i="5"/>
  <c r="X156" i="5"/>
  <c r="X157" i="5" s="1"/>
  <c r="W136" i="5"/>
  <c r="V136" i="5"/>
  <c r="U136" i="5"/>
  <c r="T136" i="5"/>
  <c r="R136" i="5"/>
  <c r="Q136" i="5"/>
  <c r="P136" i="5"/>
  <c r="O136" i="5"/>
  <c r="N136" i="5"/>
  <c r="M136" i="5"/>
  <c r="L136" i="5"/>
  <c r="K136" i="5"/>
  <c r="J136" i="5"/>
  <c r="I136" i="5"/>
  <c r="H136" i="5"/>
  <c r="F136" i="5"/>
  <c r="E136" i="5"/>
  <c r="D136" i="5"/>
  <c r="X135" i="5"/>
  <c r="X134" i="5"/>
  <c r="X133" i="5"/>
  <c r="X132" i="5"/>
  <c r="X129" i="5"/>
  <c r="X128" i="5"/>
  <c r="X127" i="5"/>
  <c r="X126" i="5"/>
  <c r="W124" i="5"/>
  <c r="V124" i="5"/>
  <c r="U124" i="5"/>
  <c r="T124" i="5"/>
  <c r="R124" i="5"/>
  <c r="Q124" i="5"/>
  <c r="P124" i="5"/>
  <c r="N124" i="5"/>
  <c r="M124" i="5"/>
  <c r="K124" i="5"/>
  <c r="J124" i="5"/>
  <c r="I124" i="5"/>
  <c r="H124" i="5"/>
  <c r="F124" i="5"/>
  <c r="E124" i="5"/>
  <c r="X123" i="5"/>
  <c r="X122" i="5"/>
  <c r="X121" i="5"/>
  <c r="X120" i="5"/>
  <c r="X119" i="5"/>
  <c r="W117" i="5"/>
  <c r="V117" i="5"/>
  <c r="U117" i="5"/>
  <c r="T117" i="5"/>
  <c r="R117" i="5"/>
  <c r="Q117" i="5"/>
  <c r="P117" i="5"/>
  <c r="N117" i="5"/>
  <c r="M117" i="5"/>
  <c r="K117" i="5"/>
  <c r="J117" i="5"/>
  <c r="I117" i="5"/>
  <c r="H117" i="5"/>
  <c r="G117" i="5"/>
  <c r="F117" i="5"/>
  <c r="E117" i="5"/>
  <c r="X116" i="5"/>
  <c r="X115" i="5"/>
  <c r="X114" i="5"/>
  <c r="X113" i="5"/>
  <c r="X112" i="5"/>
  <c r="X111" i="5"/>
  <c r="X104" i="5"/>
  <c r="X103" i="5"/>
  <c r="X102" i="5"/>
  <c r="W100" i="5"/>
  <c r="V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X88" i="5"/>
  <c r="X87" i="5"/>
  <c r="X86" i="5"/>
  <c r="X85" i="5"/>
  <c r="X84" i="5"/>
  <c r="U83" i="5"/>
  <c r="U100" i="5" s="1"/>
  <c r="X81" i="5"/>
  <c r="X80" i="5"/>
  <c r="X79" i="5"/>
  <c r="X78" i="5"/>
  <c r="X77" i="5"/>
  <c r="X75" i="5"/>
  <c r="X74" i="5"/>
  <c r="X71" i="5"/>
  <c r="X70" i="5"/>
  <c r="X68" i="5"/>
  <c r="X67" i="5"/>
  <c r="X66" i="5"/>
  <c r="X54" i="5"/>
  <c r="X53" i="5"/>
  <c r="X51" i="5"/>
  <c r="W40" i="5"/>
  <c r="V40" i="5"/>
  <c r="U40" i="5"/>
  <c r="T40" i="5"/>
  <c r="R40" i="5"/>
  <c r="Q40" i="5"/>
  <c r="P40" i="5"/>
  <c r="N40" i="5"/>
  <c r="M40" i="5"/>
  <c r="J40" i="5"/>
  <c r="F40" i="5"/>
  <c r="E40" i="5"/>
  <c r="D40" i="5"/>
  <c r="X38" i="5"/>
  <c r="X37" i="5"/>
  <c r="X36" i="5"/>
  <c r="X35" i="5"/>
  <c r="X34" i="5"/>
  <c r="X33" i="5"/>
  <c r="P31" i="5"/>
  <c r="I31" i="5"/>
  <c r="F31" i="5"/>
  <c r="E31" i="5"/>
  <c r="X30" i="5"/>
  <c r="X29" i="5"/>
  <c r="X28" i="5"/>
  <c r="X27" i="5"/>
  <c r="X26" i="5"/>
  <c r="S24" i="5"/>
  <c r="E24" i="5"/>
  <c r="D24" i="5"/>
  <c r="D31" i="5" s="1"/>
  <c r="X22" i="5"/>
  <c r="X21" i="5"/>
  <c r="X20" i="5"/>
  <c r="X19" i="5"/>
  <c r="X18" i="5"/>
  <c r="W16" i="5"/>
  <c r="W24" i="5" s="1"/>
  <c r="W31" i="5" s="1"/>
  <c r="V16" i="5"/>
  <c r="V24" i="5" s="1"/>
  <c r="V31" i="5" s="1"/>
  <c r="U16" i="5"/>
  <c r="T16" i="5"/>
  <c r="T24" i="5" s="1"/>
  <c r="T31" i="5" s="1"/>
  <c r="R16" i="5"/>
  <c r="R24" i="5" s="1"/>
  <c r="R31" i="5" s="1"/>
  <c r="Q16" i="5"/>
  <c r="P16" i="5"/>
  <c r="P24" i="5" s="1"/>
  <c r="N16" i="5"/>
  <c r="M16" i="5"/>
  <c r="K16" i="5"/>
  <c r="J16" i="5"/>
  <c r="J24" i="5" s="1"/>
  <c r="J31" i="5" s="1"/>
  <c r="I16" i="5"/>
  <c r="H16" i="5"/>
  <c r="H24" i="5" s="1"/>
  <c r="H31" i="5" s="1"/>
  <c r="F16" i="5"/>
  <c r="E16" i="5"/>
  <c r="D16" i="5"/>
  <c r="X15" i="5"/>
  <c r="X14" i="5"/>
  <c r="X13" i="5"/>
  <c r="X12" i="5"/>
  <c r="X11" i="5"/>
  <c r="P169" i="4"/>
  <c r="W159" i="4"/>
  <c r="W157" i="4"/>
  <c r="S156" i="4"/>
  <c r="R156" i="4"/>
  <c r="Q156" i="4"/>
  <c r="F156" i="4"/>
  <c r="W156" i="4" s="1"/>
  <c r="V155" i="4"/>
  <c r="V169" i="4" s="1"/>
  <c r="U155" i="4"/>
  <c r="S155" i="4"/>
  <c r="R155" i="4"/>
  <c r="Q155" i="4"/>
  <c r="O155" i="4"/>
  <c r="M155" i="4"/>
  <c r="L155" i="4"/>
  <c r="J155" i="4"/>
  <c r="I155" i="4"/>
  <c r="H155" i="4"/>
  <c r="G155" i="4"/>
  <c r="F155" i="4"/>
  <c r="E155" i="4"/>
  <c r="D155" i="4"/>
  <c r="C155" i="4"/>
  <c r="U153" i="4"/>
  <c r="U169" i="4" s="1"/>
  <c r="T153" i="4"/>
  <c r="T169" i="4" s="1"/>
  <c r="S153" i="4"/>
  <c r="R153" i="4"/>
  <c r="Q153" i="4"/>
  <c r="O153" i="4"/>
  <c r="M153" i="4"/>
  <c r="L153" i="4"/>
  <c r="J153" i="4"/>
  <c r="I153" i="4"/>
  <c r="H153" i="4"/>
  <c r="G153" i="4"/>
  <c r="F153" i="4"/>
  <c r="E153" i="4"/>
  <c r="D153" i="4"/>
  <c r="C153" i="4"/>
  <c r="U142" i="4"/>
  <c r="T142" i="4"/>
  <c r="Q142" i="4"/>
  <c r="P142" i="4"/>
  <c r="O142" i="4"/>
  <c r="M142" i="4"/>
  <c r="L142" i="4"/>
  <c r="J142" i="4"/>
  <c r="I142" i="4"/>
  <c r="H142" i="4"/>
  <c r="G142" i="4"/>
  <c r="E142" i="4"/>
  <c r="D142" i="4"/>
  <c r="C142" i="4"/>
  <c r="V136" i="4"/>
  <c r="U136" i="4"/>
  <c r="T136" i="4"/>
  <c r="S136" i="4"/>
  <c r="Q136" i="4"/>
  <c r="P136" i="4"/>
  <c r="O136" i="4"/>
  <c r="N136" i="4"/>
  <c r="M136" i="4"/>
  <c r="L136" i="4"/>
  <c r="K136" i="4"/>
  <c r="J136" i="4"/>
  <c r="I136" i="4"/>
  <c r="H136" i="4"/>
  <c r="G136" i="4"/>
  <c r="E136" i="4"/>
  <c r="C136" i="4"/>
  <c r="W135" i="4"/>
  <c r="W133" i="4"/>
  <c r="W127" i="4"/>
  <c r="W126" i="4"/>
  <c r="V123" i="4"/>
  <c r="U123" i="4"/>
  <c r="T123" i="4"/>
  <c r="S123" i="4"/>
  <c r="Q123" i="4"/>
  <c r="P123" i="4"/>
  <c r="O123" i="4"/>
  <c r="M123" i="4"/>
  <c r="L123" i="4"/>
  <c r="J123" i="4"/>
  <c r="I123" i="4"/>
  <c r="H123" i="4"/>
  <c r="G123" i="4"/>
  <c r="E123" i="4"/>
  <c r="D123" i="4"/>
  <c r="W121" i="4"/>
  <c r="W120" i="4"/>
  <c r="W119" i="4"/>
  <c r="V116" i="4"/>
  <c r="U116" i="4"/>
  <c r="T116" i="4"/>
  <c r="S116" i="4"/>
  <c r="Q116" i="4"/>
  <c r="P116" i="4"/>
  <c r="O116" i="4"/>
  <c r="M116" i="4"/>
  <c r="L116" i="4"/>
  <c r="J116" i="4"/>
  <c r="I116" i="4"/>
  <c r="H116" i="4"/>
  <c r="F116" i="4"/>
  <c r="E116" i="4"/>
  <c r="D116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U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W86" i="4"/>
  <c r="T82" i="4"/>
  <c r="W74" i="4"/>
  <c r="W73" i="4"/>
  <c r="W72" i="4"/>
  <c r="W71" i="4"/>
  <c r="W70" i="4"/>
  <c r="W69" i="4"/>
  <c r="W55" i="4"/>
  <c r="W54" i="4"/>
  <c r="W51" i="4"/>
  <c r="V40" i="4"/>
  <c r="U40" i="4"/>
  <c r="T40" i="4"/>
  <c r="S40" i="4"/>
  <c r="Q40" i="4"/>
  <c r="P40" i="4"/>
  <c r="O40" i="4"/>
  <c r="M40" i="4"/>
  <c r="L40" i="4"/>
  <c r="I40" i="4"/>
  <c r="E40" i="4"/>
  <c r="D40" i="4"/>
  <c r="C40" i="4"/>
  <c r="O31" i="4"/>
  <c r="H31" i="4"/>
  <c r="E31" i="4"/>
  <c r="D31" i="4"/>
  <c r="R24" i="4"/>
  <c r="D24" i="4"/>
  <c r="C24" i="4"/>
  <c r="C31" i="4" s="1"/>
  <c r="W22" i="4"/>
  <c r="W21" i="4"/>
  <c r="W20" i="4"/>
  <c r="W19" i="4"/>
  <c r="W18" i="4"/>
  <c r="V16" i="4"/>
  <c r="U16" i="4"/>
  <c r="T16" i="4"/>
  <c r="S16" i="4"/>
  <c r="Q16" i="4"/>
  <c r="P16" i="4"/>
  <c r="O16" i="4"/>
  <c r="M16" i="4"/>
  <c r="M24" i="4" s="1"/>
  <c r="M31" i="4" s="1"/>
  <c r="L16" i="4"/>
  <c r="J16" i="4"/>
  <c r="I16" i="4"/>
  <c r="H16" i="4"/>
  <c r="G16" i="4"/>
  <c r="E16" i="4"/>
  <c r="E24" i="4" s="1"/>
  <c r="D16" i="4"/>
  <c r="C16" i="4"/>
  <c r="W15" i="4"/>
  <c r="W14" i="4"/>
  <c r="W13" i="4"/>
  <c r="W12" i="4"/>
  <c r="W11" i="4"/>
  <c r="B76" i="3"/>
  <c r="B77" i="3" s="1"/>
  <c r="F77" i="3"/>
  <c r="B38" i="3"/>
  <c r="A19" i="3"/>
  <c r="N170" i="4" l="1"/>
  <c r="H97" i="6"/>
  <c r="J97" i="6"/>
  <c r="J142" i="6" s="1"/>
  <c r="J151" i="6" s="1"/>
  <c r="K170" i="4"/>
  <c r="W142" i="4"/>
  <c r="C169" i="4"/>
  <c r="G169" i="4"/>
  <c r="F170" i="4"/>
  <c r="E169" i="4"/>
  <c r="E170" i="4" s="1"/>
  <c r="I169" i="4"/>
  <c r="O169" i="4"/>
  <c r="H170" i="5"/>
  <c r="H176" i="5" s="1"/>
  <c r="H177" i="5" s="1"/>
  <c r="M170" i="5"/>
  <c r="M176" i="5" s="1"/>
  <c r="D170" i="5"/>
  <c r="D176" i="5" s="1"/>
  <c r="I170" i="5"/>
  <c r="I176" i="5" s="1"/>
  <c r="N170" i="5"/>
  <c r="N176" i="5" s="1"/>
  <c r="T170" i="5"/>
  <c r="T176" i="5" s="1"/>
  <c r="T177" i="5" s="1"/>
  <c r="J170" i="5"/>
  <c r="J176" i="5" s="1"/>
  <c r="J177" i="5" s="1"/>
  <c r="P170" i="5"/>
  <c r="P176" i="5" s="1"/>
  <c r="P177" i="5" s="1"/>
  <c r="G177" i="5"/>
  <c r="K170" i="5"/>
  <c r="K176" i="5" s="1"/>
  <c r="V170" i="5"/>
  <c r="V176" i="5" s="1"/>
  <c r="V177" i="5" s="1"/>
  <c r="W40" i="4"/>
  <c r="W116" i="4"/>
  <c r="W123" i="4"/>
  <c r="D169" i="4"/>
  <c r="D170" i="4" s="1"/>
  <c r="H169" i="4"/>
  <c r="M169" i="4"/>
  <c r="M170" i="4" s="1"/>
  <c r="S169" i="4"/>
  <c r="W155" i="4"/>
  <c r="W16" i="4"/>
  <c r="J169" i="4"/>
  <c r="Q169" i="4"/>
  <c r="O177" i="5"/>
  <c r="L177" i="5"/>
  <c r="X40" i="5"/>
  <c r="W136" i="4"/>
  <c r="X161" i="5"/>
  <c r="X162" i="5"/>
  <c r="X117" i="5"/>
  <c r="X124" i="5"/>
  <c r="L169" i="4"/>
  <c r="U24" i="5"/>
  <c r="U31" i="5" s="1"/>
  <c r="B39" i="3"/>
  <c r="X83" i="5"/>
  <c r="X136" i="5"/>
  <c r="X100" i="5"/>
  <c r="X16" i="5"/>
  <c r="F24" i="5"/>
  <c r="I24" i="5"/>
  <c r="K24" i="5"/>
  <c r="K31" i="5" s="1"/>
  <c r="N24" i="5"/>
  <c r="N31" i="5" s="1"/>
  <c r="Q24" i="5"/>
  <c r="Q31" i="5" s="1"/>
  <c r="E170" i="5"/>
  <c r="E176" i="5" s="1"/>
  <c r="E177" i="5" s="1"/>
  <c r="R170" i="5"/>
  <c r="R176" i="5" s="1"/>
  <c r="R177" i="5" s="1"/>
  <c r="W170" i="5"/>
  <c r="W176" i="5" s="1"/>
  <c r="W177" i="5" s="1"/>
  <c r="M24" i="5"/>
  <c r="M31" i="5" s="1"/>
  <c r="S31" i="5"/>
  <c r="S177" i="5" s="1"/>
  <c r="X159" i="5"/>
  <c r="F170" i="5"/>
  <c r="F176" i="5" s="1"/>
  <c r="G24" i="4"/>
  <c r="G31" i="4" s="1"/>
  <c r="I24" i="4"/>
  <c r="I31" i="4" s="1"/>
  <c r="L24" i="4"/>
  <c r="L31" i="4" s="1"/>
  <c r="O24" i="4"/>
  <c r="Q24" i="4"/>
  <c r="Q31" i="4" s="1"/>
  <c r="S24" i="4"/>
  <c r="S31" i="4" s="1"/>
  <c r="U24" i="4"/>
  <c r="U31" i="4" s="1"/>
  <c r="R31" i="4"/>
  <c r="R170" i="4" s="1"/>
  <c r="T90" i="4"/>
  <c r="W90" i="4" s="1"/>
  <c r="W153" i="4"/>
  <c r="C170" i="4"/>
  <c r="H24" i="4"/>
  <c r="H170" i="4" s="1"/>
  <c r="J24" i="4"/>
  <c r="J31" i="4" s="1"/>
  <c r="P24" i="4"/>
  <c r="P31" i="4" s="1"/>
  <c r="T24" i="4"/>
  <c r="T31" i="4" s="1"/>
  <c r="V24" i="4"/>
  <c r="V31" i="4" s="1"/>
  <c r="P170" i="4" l="1"/>
  <c r="G170" i="4"/>
  <c r="B79" i="3"/>
  <c r="B80" i="3" s="1"/>
  <c r="F79" i="3"/>
  <c r="F80" i="3" s="1"/>
  <c r="O170" i="4"/>
  <c r="X24" i="5"/>
  <c r="X31" i="5"/>
  <c r="I177" i="5"/>
  <c r="W169" i="4"/>
  <c r="V170" i="4"/>
  <c r="L170" i="4"/>
  <c r="W31" i="4"/>
  <c r="Q170" i="4"/>
  <c r="U177" i="5"/>
  <c r="F177" i="5"/>
  <c r="X176" i="5"/>
  <c r="X170" i="5"/>
  <c r="N177" i="5"/>
  <c r="D177" i="5"/>
  <c r="M177" i="5"/>
  <c r="Q177" i="5"/>
  <c r="K177" i="5"/>
  <c r="U170" i="4"/>
  <c r="T170" i="4"/>
  <c r="I170" i="4"/>
  <c r="W24" i="4"/>
  <c r="S170" i="4"/>
  <c r="J170" i="4"/>
  <c r="W170" i="4" l="1"/>
  <c r="X177" i="5"/>
</calcChain>
</file>

<file path=xl/sharedStrings.xml><?xml version="1.0" encoding="utf-8"?>
<sst xmlns="http://schemas.openxmlformats.org/spreadsheetml/2006/main" count="7684" uniqueCount="913">
  <si>
    <t xml:space="preserve">     ชื่อเทศบาลตำบลบางสน</t>
  </si>
  <si>
    <t xml:space="preserve">      อำเภอ…ปะทิว….จังหวัด…จังหวัดชุมพร….</t>
  </si>
  <si>
    <t>รายงาน รับ - จ่าย เงินสด</t>
  </si>
  <si>
    <t xml:space="preserve">                         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</si>
  <si>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</si>
  <si>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</si>
  <si>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</si>
  <si>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</si>
  <si>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</si>
  <si>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</si>
  <si>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รายการ</t>
  </si>
  <si>
    <t>บัญชี</t>
  </si>
  <si>
    <t>ยอดยกมา</t>
  </si>
  <si>
    <t xml:space="preserve"> </t>
  </si>
  <si>
    <r>
      <t>รายรับ</t>
    </r>
    <r>
      <rPr>
        <b/>
        <sz val="15"/>
        <rFont val="TH SarabunPSK"/>
        <family val="2"/>
      </rPr>
      <t xml:space="preserve"> (หมายเหตุ 1)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</si>
  <si>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</si>
  <si>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</si>
  <si>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</si>
  <si>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</si>
  <si>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</si>
  <si>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</si>
  <si>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</si>
  <si>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</si>
  <si>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</si>
  <si>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</si>
  <si>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เงินอุดหนุน</t>
  </si>
  <si>
    <t>431002</t>
  </si>
  <si>
    <t>ลูกหนี้-ค่าน้ำ</t>
  </si>
  <si>
    <t>ลูกหนี้-ภาษีป้าย</t>
  </si>
  <si>
    <t>ลูกหนี้-ภาษีบำรุงท้องที่</t>
  </si>
  <si>
    <t>ลูกหนี้-ภาษีโรงเรือนและที่ดิน</t>
  </si>
  <si>
    <t>ลูกหนี้-เงินยืมงบประมาณ</t>
  </si>
  <si>
    <t>110605</t>
  </si>
  <si>
    <t>เงินสะสม</t>
  </si>
  <si>
    <t>300000</t>
  </si>
  <si>
    <t>ลูกหนี้-เงินยืมเงินสะสม</t>
  </si>
  <si>
    <t>110606</t>
  </si>
  <si>
    <t>เงินรับฝาก  (หมายเหตุ 2)</t>
  </si>
  <si>
    <t>230100</t>
  </si>
  <si>
    <t>441000</t>
  </si>
  <si>
    <t>เงินอุดหนุนเฉพาะกิจฝากจังหวัด</t>
  </si>
  <si>
    <t>งบกลาง</t>
  </si>
  <si>
    <t>เงินสด</t>
  </si>
  <si>
    <t>รวมรายรับ</t>
  </si>
  <si>
    <t>รายจ่าย</t>
  </si>
  <si>
    <t>510000</t>
  </si>
  <si>
    <t>เงินเดือนฝ่ายการเมือง</t>
  </si>
  <si>
    <t>522000</t>
  </si>
  <si>
    <t>เงินเดือนฝ่ายประจำ</t>
  </si>
  <si>
    <t>ค่าตอบแทน</t>
  </si>
  <si>
    <t>ค่าใช้สอย</t>
  </si>
  <si>
    <t>531000</t>
  </si>
  <si>
    <t>ค่าวัสดุ</t>
  </si>
  <si>
    <t>532000</t>
  </si>
  <si>
    <t>ค่าสาธารณูปโภค</t>
  </si>
  <si>
    <t>533000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</si>
  <si>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</si>
  <si>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</si>
  <si>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</si>
  <si>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</si>
  <si>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</si>
  <si>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</si>
  <si>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550000</t>
  </si>
  <si>
    <t>งบกลาง (ก ) เบี้ยยังชีพผู้สูงอายุ</t>
  </si>
  <si>
    <t>งบกลาง (ก ) เบี้ยยังชีพผู้พิการ</t>
  </si>
  <si>
    <t>เงินเดือนฝ่ายประจำ(ก)</t>
  </si>
  <si>
    <t>ลูกหนี้เงินยืม เงินงบประมาณ</t>
  </si>
  <si>
    <t>รายจ่ายค้างจ่าย (เบิกตัดปี)</t>
  </si>
  <si>
    <t>210402</t>
  </si>
  <si>
    <t>ลูกหนี้เงินยืม-เงินสะสม</t>
  </si>
  <si>
    <t>เงินรับฝาก (หมายเหตุ 3)</t>
  </si>
  <si>
    <t>เงินอุดหนุนเฉพาะกิจค้างจ่าย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</si>
  <si>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</si>
  <si>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</si>
  <si>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</si>
  <si>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</si>
  <si>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เทศบาลตำบลบางสน  อำเภอปะทิว  จังหวัดชุมพร</t>
  </si>
  <si>
    <t>งบทดลอง</t>
  </si>
  <si>
    <t>รหัสบัญชี</t>
  </si>
  <si>
    <t>เดบิท</t>
  </si>
  <si>
    <t>เครดิต</t>
  </si>
  <si>
    <t>เงินฝากธนาคาร ธกส.ออมทรัพย์ 519-2-32979-7</t>
  </si>
  <si>
    <t>110201</t>
  </si>
  <si>
    <t>เงินฝากธนาคาร ธกส.ออมทรัพย์ 498-2-46286-7</t>
  </si>
  <si>
    <t>เงินฝากธนาคาร ธกส.ออมทรัพย์ 498-2-37759-1</t>
  </si>
  <si>
    <t>120400</t>
  </si>
  <si>
    <t>เงินฝากธนาคาร กรุงไทย.ออมทรัพย์ 803-0-37858-0</t>
  </si>
  <si>
    <t>120100</t>
  </si>
  <si>
    <t>เงินฝากกองทุนส่งเสิรมกิจการเทศบาล</t>
  </si>
  <si>
    <t>ลูกหนี้เงินยืมสะสม</t>
  </si>
  <si>
    <t>ลูกหนี้เงินยืมเงินงบประมาณ</t>
  </si>
  <si>
    <t>110602</t>
  </si>
  <si>
    <t>110601</t>
  </si>
  <si>
    <t>งบกลาง(ก)  เบี้ยยังชีพผู้สูงอายุ</t>
  </si>
  <si>
    <t>งบกลาง(ก) เบี้ยยังชีพผู้พิการ</t>
  </si>
  <si>
    <t>521000</t>
  </si>
  <si>
    <t>560000</t>
  </si>
  <si>
    <t>ค่าที่ดินและสิ่งก่อสร้าง  (ก)</t>
  </si>
  <si>
    <t>รายรับ</t>
  </si>
  <si>
    <t>400000</t>
  </si>
  <si>
    <t>รายจ่ายค้ายจ่าย</t>
  </si>
  <si>
    <t>เงินรับฝาก (หมายเหตุ 2)</t>
  </si>
  <si>
    <t>เงินทุนสำรองเงินสะสม</t>
  </si>
  <si>
    <t>320000</t>
  </si>
  <si>
    <t>เงินฝากคลังจังหวัด</t>
  </si>
  <si>
    <t>รายจ่ายผลัดส่งใบสำคัญ</t>
  </si>
  <si>
    <t>รายได้จากทุน</t>
  </si>
  <si>
    <t>ภาษีจัดสรร</t>
  </si>
  <si>
    <t>เงินอุดหนุนทั่วไป</t>
  </si>
  <si>
    <t>กระดาษทำการกระทบยอดงบประมาณคงเหลือ</t>
  </si>
  <si>
    <t>แผนงานบริหารทั่วไป</t>
  </si>
  <si>
    <t>แผนงานรักษา</t>
  </si>
  <si>
    <t>แผนการศึกษา</t>
  </si>
  <si>
    <t>แผนงาน</t>
  </si>
  <si>
    <t>แผนงานเคหะและชุมชน</t>
  </si>
  <si>
    <t>แผนงานการศาสนาและ</t>
  </si>
  <si>
    <t>แผนงานการเกษตร</t>
  </si>
  <si>
    <t>ความสงบภายใน</t>
  </si>
  <si>
    <t>สร้างความเข้ม</t>
  </si>
  <si>
    <t>สังคมสงเคราะห์</t>
  </si>
  <si>
    <t>สาธารณสุข</t>
  </si>
  <si>
    <t>วัฒนธรรม</t>
  </si>
  <si>
    <t>การพาณิชย์</t>
  </si>
  <si>
    <t>หมวด/ประเภท</t>
  </si>
  <si>
    <t>00400</t>
  </si>
  <si>
    <t>00110</t>
  </si>
  <si>
    <t>00120</t>
  </si>
  <si>
    <t>00210</t>
  </si>
  <si>
    <t>แข็งของชุมชน</t>
  </si>
  <si>
    <t>00220</t>
  </si>
  <si>
    <t>00240</t>
  </si>
  <si>
    <t>00260</t>
  </si>
  <si>
    <t>00320</t>
  </si>
  <si>
    <t>00330</t>
  </si>
  <si>
    <t>งานงบกลาง</t>
  </si>
  <si>
    <t>งานบริหาร</t>
  </si>
  <si>
    <t>เกี่ยวกับการ</t>
  </si>
  <si>
    <t>งานป้องกัน</t>
  </si>
  <si>
    <t>บริหารทั่วไป</t>
  </si>
  <si>
    <t>ระดับก่อนวัย</t>
  </si>
  <si>
    <t>งานบริหารทั่วไป</t>
  </si>
  <si>
    <t>งานส่งเสริมและ</t>
  </si>
  <si>
    <t>งานสวัสดิการ</t>
  </si>
  <si>
    <t>บริการสาธรณ</t>
  </si>
  <si>
    <t>งานไฟฟ้าและ</t>
  </si>
  <si>
    <t>งานกีฬาและ</t>
  </si>
  <si>
    <t>งานการวางแผน</t>
  </si>
  <si>
    <t>งานศาสนา</t>
  </si>
  <si>
    <t>งานอนุรักษ์</t>
  </si>
  <si>
    <t>งานส่งเสริม</t>
  </si>
  <si>
    <t>งานกิจการ</t>
  </si>
  <si>
    <t>รวม</t>
  </si>
  <si>
    <t>ทั่วไป</t>
  </si>
  <si>
    <t>งานคลัง</t>
  </si>
  <si>
    <t>รักษาความสงบ</t>
  </si>
  <si>
    <t>ระงับอัคคีภัย</t>
  </si>
  <si>
    <t>เกี่ยวกับการศึกษา</t>
  </si>
  <si>
    <t>เรียนและประถม</t>
  </si>
  <si>
    <t>ความเข้มแข็ง</t>
  </si>
  <si>
    <t>สนับสนุนความ</t>
  </si>
  <si>
    <t>สังคมและสงเคราห์</t>
  </si>
  <si>
    <t>สารธารณสุข</t>
  </si>
  <si>
    <t>สาธารณสุขอื่น</t>
  </si>
  <si>
    <t>เคหะและชุมชน</t>
  </si>
  <si>
    <t>ถนน</t>
  </si>
  <si>
    <t>นันทนาการ</t>
  </si>
  <si>
    <t>และส่งเสริม</t>
  </si>
  <si>
    <t>และวัฒนธรรม</t>
  </si>
  <si>
    <t>แหล่งน้ำ  ป่าไม้</t>
  </si>
  <si>
    <t>การเกษตร</t>
  </si>
  <si>
    <t>ประปา</t>
  </si>
  <si>
    <t>00411</t>
  </si>
  <si>
    <t>00111</t>
  </si>
  <si>
    <t>00113</t>
  </si>
  <si>
    <t>00121</t>
  </si>
  <si>
    <t>00212</t>
  </si>
  <si>
    <t>00214</t>
  </si>
  <si>
    <t>เข้มแข็งชุมชน</t>
  </si>
  <si>
    <t>00232</t>
  </si>
  <si>
    <t>00221</t>
  </si>
  <si>
    <t>00241</t>
  </si>
  <si>
    <t>00242</t>
  </si>
  <si>
    <t>00262</t>
  </si>
  <si>
    <t>การท่องเที่ยว</t>
  </si>
  <si>
    <t>00263</t>
  </si>
  <si>
    <t>00322</t>
  </si>
  <si>
    <t>00321</t>
  </si>
  <si>
    <t>00332</t>
  </si>
  <si>
    <t>แผนงานงบกลาง</t>
  </si>
  <si>
    <t>รวมเดือนนี้</t>
  </si>
  <si>
    <t xml:space="preserve">  เงินเดือนฝ่ายการเมือง</t>
  </si>
  <si>
    <t xml:space="preserve">   - เงินเดือนนายก/รองนายก</t>
  </si>
  <si>
    <t xml:space="preserve">   -  ค่าตอบแทนประจำตำแหน่งนายก/รองนายก</t>
  </si>
  <si>
    <t xml:space="preserve">   -  ค่าตอบแทนพิเศษนายก/รองนายก</t>
  </si>
  <si>
    <t xml:space="preserve">   -  เงินค่าตอบแทนเลขานุการ/ที่ปรึกษานายก</t>
  </si>
  <si>
    <t xml:space="preserve">   -  เงินค่าตอบแทนสมาชิกสภา</t>
  </si>
  <si>
    <t xml:space="preserve">   -  เงินเดือนพนักงาน</t>
  </si>
  <si>
    <t xml:space="preserve">   -  เงินเพิ่มต่าง ๆ ของพนักงาน</t>
  </si>
  <si>
    <t xml:space="preserve">   -  เงินเประจำตำแหน่ง</t>
  </si>
  <si>
    <t xml:space="preserve">   -  ค่าจ้างพนักงานจ้าง</t>
  </si>
  <si>
    <t xml:space="preserve">   -  เงินเพิ่มต่าง ๆ ของพนักงานจ้าง</t>
  </si>
  <si>
    <t>แผนงานการ</t>
  </si>
  <si>
    <t>ความสงบ</t>
  </si>
  <si>
    <t>เกษตร</t>
  </si>
  <si>
    <t>00410</t>
  </si>
  <si>
    <t>00101</t>
  </si>
  <si>
    <t>งานศึกษา</t>
  </si>
  <si>
    <t>เกี่ยวกับ</t>
  </si>
  <si>
    <t>โรงพยาบาล</t>
  </si>
  <si>
    <t>ไม่กำหนดระดับ</t>
  </si>
  <si>
    <t>00211</t>
  </si>
  <si>
    <t xml:space="preserve">   -  ค่าตอบแทนปฏิบัติงานนอกเวลาราชการ</t>
  </si>
  <si>
    <t xml:space="preserve">   -  ค่าเช่าบ้าน</t>
  </si>
  <si>
    <t xml:space="preserve">   -  เงินช่วยเหลือการศึกษาบุตร</t>
  </si>
  <si>
    <t xml:space="preserve">   - ค่าตรวจงานจ้าง เปิดซอง จัดซื้อ จัดจ้าง</t>
  </si>
  <si>
    <t xml:space="preserve">   -  เงินช่วยเหลือค่ารักษาพยาบาล</t>
  </si>
  <si>
    <t xml:space="preserve">    -ค่าเบี้ยประชุม</t>
  </si>
  <si>
    <t xml:space="preserve">   1.รายจ่ายเพื่อให้ได้มาซึ่งบริการ</t>
  </si>
  <si>
    <t xml:space="preserve">   2.  รายจ่ายเกี่ยวกับการรับรองและพิธีการ</t>
  </si>
  <si>
    <t xml:space="preserve">   -  ค่ารับรองในการต้อนรับบุคคลหรือคระบุคคล</t>
  </si>
  <si>
    <t xml:space="preserve">   -  ค่าเลี้ยงรับรองในการประชุมสภาท้องถิ่น</t>
  </si>
  <si>
    <t xml:space="preserve">   -  โครงการบัณฑิตน้อย</t>
  </si>
  <si>
    <t xml:space="preserve">   -  โครงการผู้ประสานพลังแผ่นดิน(25ตาสัปปะรด)</t>
  </si>
  <si>
    <t xml:space="preserve">   -  โครงการสนับสนุนหน่วยเฉพาะกิจระดับตำบลตั้งด่าน</t>
  </si>
  <si>
    <t xml:space="preserve">   -  โครงการอบรมบำบัดฟื้นฟูผู้ติดยาเสพติด</t>
  </si>
  <si>
    <t>3.   รายจ่ายเกี่ยวเนื่องกับการปฏิบัติราชการที่ไม่เข้าลักษณะ</t>
  </si>
  <si>
    <t xml:space="preserve">    รายจ่ายหมวดอื่น ๆ </t>
  </si>
  <si>
    <t>3.1   ค่าของขวัญ  ของรางวัลหรือเงินรางวัล</t>
  </si>
  <si>
    <t>ระดับก่อน</t>
  </si>
  <si>
    <t>วัยเรียน</t>
  </si>
  <si>
    <t>-</t>
  </si>
  <si>
    <t>4.รายจ่ายเพื่อบำรุงรักษาหรือซ่อมแซมทรัพย์สิน</t>
  </si>
  <si>
    <t>หมวด ค่าวัสดุ</t>
  </si>
  <si>
    <t xml:space="preserve"> 4.  ค่าอาหารเสริม (นม)</t>
  </si>
  <si>
    <t xml:space="preserve">     1.  ค่าไฟฟ้า</t>
  </si>
  <si>
    <t xml:space="preserve">     3.  ค่าไปรษณีย์ ค่าโทรเลข ค่าธนาณัติ ค่าแสตม์</t>
  </si>
  <si>
    <t xml:space="preserve">     4.  ค่าบริการทางด้านโทรคมนาคม</t>
  </si>
  <si>
    <t xml:space="preserve">     5.  ค่าน้ำประปา</t>
  </si>
  <si>
    <t>หมวดเงินอุดหนุน</t>
  </si>
  <si>
    <t>ประเภทเงินอุดหนุนส่วนราชการ</t>
  </si>
  <si>
    <t>1.อุดหนุนค่าอาหารกลางวันโรงเรียน</t>
  </si>
  <si>
    <t>2.โครงการพัฒนาคุณธรรมและจริยธรรมนักเรียน</t>
  </si>
  <si>
    <t>3.โครงการอบรมเชิงปฏิบัติการปรรูปอาหารทะเล</t>
  </si>
  <si>
    <t>4.โครงการจัดกิจกรรมงานรัฐพิธีอำเภอปะทิว</t>
  </si>
  <si>
    <t>5.โครงการจัดกิจกรรมงานเทิดพระเกียรติ(งานกาชาด)</t>
  </si>
  <si>
    <t>ประเภทเงินอุดหนุนเอกชน</t>
  </si>
  <si>
    <t>1.กลุ่มวิสาหกิจชุมชนบ้านปากคลองบางสน</t>
  </si>
  <si>
    <t>ประเภทเงินอุดหนุนกิจการที่เป็นสาธารณประโยชน์</t>
  </si>
  <si>
    <t>1.คณะกรรมการพัฒนาสาธารณสุขมูลฐาน</t>
  </si>
  <si>
    <t>หมวดครุภัณฑ์</t>
  </si>
  <si>
    <t>1.ค่าบำรุงรักษาและปรับปรุงครุภัณฑ์</t>
  </si>
  <si>
    <t>ที่ดิน และ สิ่งก่อสร้าง</t>
  </si>
  <si>
    <t>2.โครงการก่อสร้างถนนผิวจราจรดินลูกรัง</t>
  </si>
  <si>
    <t xml:space="preserve">  สายทางรถไฟ-ซอย 1 หมู่ที่ 6</t>
  </si>
  <si>
    <t>3.โครงการก่อสร้างถนนลาดยางผิวจราจรแบบแคปซีล</t>
  </si>
  <si>
    <t xml:space="preserve">   สายบ้านนายใบ-บ้านล่าง หมู่ที่ 3-5</t>
  </si>
  <si>
    <t>4.โครงการก่อสร้างถนนลาดยางผิวจราจรแคปซีล</t>
  </si>
  <si>
    <t xml:space="preserve">  สายสุขเสมอ หมู่ที่ 8</t>
  </si>
  <si>
    <t>5.โครงการก่อสร้างท่อลอดเหลี่ยมคอนกรีตเสริมเหล็ก</t>
  </si>
  <si>
    <t xml:space="preserve">  คลองคลุ้งคลั้ง</t>
  </si>
  <si>
    <t xml:space="preserve">หมวดร่ายจ่ายอื่น </t>
  </si>
  <si>
    <t>1.ค่าจ้างที่ปรึกษาเพื่อศึกษา วิจัย ประเมินผล</t>
  </si>
  <si>
    <t>รวมยอดคงเหลือตามแผนงาน</t>
  </si>
  <si>
    <t>1.  เงินสมทบกองทุนประกันสังคม</t>
  </si>
  <si>
    <t>2.  เบี้ยยังชีพผู้ป่วยโรคเอดส์</t>
  </si>
  <si>
    <t>3.  สำรองจ่าย</t>
  </si>
  <si>
    <t>4.  รายจ่ายตามข้อผูกพัน</t>
  </si>
  <si>
    <t xml:space="preserve">   -  เงินเดือนนายก/รองนายก</t>
  </si>
  <si>
    <t xml:space="preserve">    - ค่าเบี้ยประชุม</t>
  </si>
  <si>
    <t xml:space="preserve">   1. รายจ่ายเพื่อให้ได้มาซึ่งบริการ</t>
  </si>
  <si>
    <t xml:space="preserve">   2. รายจ่ายเกี่ยวกับการรับรองและพิธีการ</t>
  </si>
  <si>
    <t xml:space="preserve">   -  ค่าใช้จ่ายในการสนับสนุนการจัดทำแผนประชาคม</t>
  </si>
  <si>
    <t xml:space="preserve">  -  ค่าใช้จ่ายในการฝึกอบรมอาชีพระยะสั้นสำหรับประชาชน</t>
  </si>
  <si>
    <t xml:space="preserve">   -  ค่าใช้จ่ายในการจัดการแข่งขันกีฬาเทศบาล</t>
  </si>
  <si>
    <t xml:space="preserve">   -  ค่าใช้จ่ายในการจัดส่งนักกีฬาเข้าร่วมการแข่งขัน</t>
  </si>
  <si>
    <t xml:space="preserve">   -  โครงการดูเหยี่ยวเขาดินสอ</t>
  </si>
  <si>
    <t xml:space="preserve">   -  คชจ.ในการจัดอบรมเพิ่มศักยภาพคณะกรรมการศูนย์เทคโน</t>
  </si>
  <si>
    <t xml:space="preserve">   -  คชจ.ในการฝึกอบรมทบทวน อปพร.</t>
  </si>
  <si>
    <t>3.3   คชจ.ในการดำเนินการเลือกตั้ง</t>
  </si>
  <si>
    <t>3.4   คชจ.ในการเดินทางไปราชการหรืออบรมสัมนา</t>
  </si>
  <si>
    <t>3.8   คชจ.ในการตั้งจุดตรวจหรือจุดบริการประชาชน</t>
  </si>
  <si>
    <t>3.9   ค่าจ้างเหมาประกอบอาหารกลางวันศพด.บ้านดอนตะเคียน</t>
  </si>
  <si>
    <t>3.10  ค่าจ้างเหมาประกอบอาหารกลางวันศพด.บ้านคอกม้า</t>
  </si>
  <si>
    <t>3.11  คชจ.โครงการป้องกันและควบคุมโรคติดต่อ</t>
  </si>
  <si>
    <t>3.12  คชจ.โครงการและป้องกันโรคพิษสุนัขบ้า</t>
  </si>
  <si>
    <t>3.13  คชจ.โครงการช่วยเหลือผู้ยากไร้ ผู้ด้อยโอกาส</t>
  </si>
  <si>
    <t>3.14  คชจ.โครงการส่งเสริมกองทุนสวัสดิการชุมชน</t>
  </si>
  <si>
    <t>3.15  โครงการพัฒนาสัญจร</t>
  </si>
  <si>
    <t>3.16  โครงการจัดงานประเพณี วัฒนธรรมท้องถิ่น</t>
  </si>
  <si>
    <t>3.17  คชจ.ในการจัดตั้งสำนักงานศูนย์เทคโน</t>
  </si>
  <si>
    <t>3.18  คชจ.ในโครงการจัดทำแนววางทุ่นการประมง</t>
  </si>
  <si>
    <t>3.19  โครงการท้องถิ่นไทย รวมใจภักดิ์  รักษ์พื้นที่สีเขียว</t>
  </si>
  <si>
    <t>2.  วัสดุไฟฟ้าและวิทยุ</t>
  </si>
  <si>
    <t>1.  วัสดุสำนักงาน</t>
  </si>
  <si>
    <t>3.  วัสดุงานบ้านงานครัว</t>
  </si>
  <si>
    <t>5.  ค่าวัสดุยานพาหนะและขนส่ง</t>
  </si>
  <si>
    <t>6.  วัสดุเชื้อเพลิงและหล่อลื่น</t>
  </si>
  <si>
    <t>10. ค่าวัสดุเครื่องแต่งกาย</t>
  </si>
  <si>
    <t>11.  ค่าวัสดุกีฬา</t>
  </si>
  <si>
    <t>12.  ค่าวัสดุคอมพิวเตอร์</t>
  </si>
  <si>
    <t xml:space="preserve">15.  ค่าวัสดุอื่น ๆ </t>
  </si>
  <si>
    <t>1.  ค่าไฟฟ้า</t>
  </si>
  <si>
    <t>3.  ค่าไปรษณีย์ ค่าโทรเลข ค่าธนาณัติ ค่าแสตม์</t>
  </si>
  <si>
    <t xml:space="preserve"> 5.  ค่าน้ำประปา</t>
  </si>
  <si>
    <t>1.  อุดหนุนค่าอาหารกลางวันโรงเรียน</t>
  </si>
  <si>
    <t>2.  โครงการพัฒนาคุณธรรมและจริยธรรมนักเรียน</t>
  </si>
  <si>
    <t>3.  โครงการอบรมเชิงปฏิบัติการปรรูปอาหารทะเล</t>
  </si>
  <si>
    <t>4.  โครงการจัดกิจกรรมงานรัฐพิธีอำเภอปะทิว</t>
  </si>
  <si>
    <t>5.  โครงการจัดกิจกรรมงานเทิดพระเกียรติ(งานกาชาด)</t>
  </si>
  <si>
    <t>1.  กลุ่มวิสาหกิจชุมชนบ้านปากคลองบางสน</t>
  </si>
  <si>
    <t>1.  โครงการก่อสร้างถนนคสล.สายบ้านนายรอง</t>
  </si>
  <si>
    <t>2.  โครงการก่อสร้างถนนผิวจราจรดินลูกรัง</t>
  </si>
  <si>
    <t>3.  โครงการก่อสร้างถนนลาดยางผิวจราจรแบบแคปซีล</t>
  </si>
  <si>
    <t>4.  โครงการก่อสร้างถนนลาดยางผิวจราจรแคปซีล</t>
  </si>
  <si>
    <t xml:space="preserve">     สายบ้านนายใบ-บ้านล่าง หมู่ที่ 3-5</t>
  </si>
  <si>
    <t xml:space="preserve">     สายทางรถไฟ-ซอย 1 หมู่ที่ 6</t>
  </si>
  <si>
    <t xml:space="preserve">      สมบัติพิบูลย์  หมู่ที่ 4</t>
  </si>
  <si>
    <t xml:space="preserve">     สายสุขเสมอ หมู่ที่ 8</t>
  </si>
  <si>
    <t>5.  โครงการก่อสร้างท่อลอดเหลี่ยมคอนกรีตเสริมเหล็ก</t>
  </si>
  <si>
    <t xml:space="preserve">     คลองคลุ้งคลั้ง</t>
  </si>
  <si>
    <t>6.  โครงการก่อสร้างทางเดินศึกษาธรรมชาติป่าชายเลน</t>
  </si>
  <si>
    <t>งบกลาง (ก)</t>
  </si>
  <si>
    <t>1. คณะกรรมการพัฒนาสาธารณสุขมูลฐาน</t>
  </si>
  <si>
    <t>4. รายจ่ายเพื่อบำรุงรักษาหรือซ่อมแซมทรัพย์สิน</t>
  </si>
  <si>
    <t>3. รายจ่ายเกี่ยวเนื่องกับการปฏิบัติราชการที่ไม่เข้าลักษณะ</t>
  </si>
  <si>
    <t>1. เงินสมทบกองทุนประกันสังคม</t>
  </si>
  <si>
    <t>2. เบี้ยยังชีพผู้ป่วยโรคเอดส์</t>
  </si>
  <si>
    <t>3. สำรองจ่าย</t>
  </si>
  <si>
    <t>4. รายจ่ายตามข้อผูกพัน</t>
  </si>
  <si>
    <t>5. บำเหน็จ/บำนาญ</t>
  </si>
  <si>
    <t xml:space="preserve">     2.  ค่าโทรศัพท์</t>
  </si>
  <si>
    <t xml:space="preserve">   -  ค่าตอบแทนผู้ปฏิบัติราชการอันเป็นประโยชน์แก่ อปท.</t>
  </si>
  <si>
    <t>กระดาษทำการกระทบยอดงบประมาณรายจ่าย</t>
  </si>
  <si>
    <t xml:space="preserve">  -  โครงการจัดงานประเพณี วัฒนธรรมท้องถิ่น</t>
  </si>
  <si>
    <t>รายรับจริงประกอบงบทดลองและรายงานรับ-จ่ายเงินสด</t>
  </si>
  <si>
    <t>ตั้งแต่ต้นปีจนถึงปัจุบัน</t>
  </si>
  <si>
    <t>เดือนปัจุบัน</t>
  </si>
  <si>
    <t>รายได้จัดเก็บเอง</t>
  </si>
  <si>
    <t>หมวดภาษีอากร</t>
  </si>
  <si>
    <t>(1)</t>
  </si>
  <si>
    <t>ภาษีโรงเรือนและที่ดิน</t>
  </si>
  <si>
    <t>(2)</t>
  </si>
  <si>
    <t>ภาษีบำรุงท้องที่</t>
  </si>
  <si>
    <t>(3)</t>
  </si>
  <si>
    <t>ภาษีป้าย</t>
  </si>
  <si>
    <t>(4)</t>
  </si>
  <si>
    <t>อากรฆ่าสัตว์</t>
  </si>
  <si>
    <t>(5)</t>
  </si>
  <si>
    <t>อากรรังนกอีแอ่น</t>
  </si>
  <si>
    <t>หมวดค่าธรรมเนียมค่าปรับและใบอนุญาต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</si>
  <si>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</si>
  <si>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</si>
  <si>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</si>
  <si>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ค่าธรรมเนียมจดทะเบียนพาณิชย์</t>
  </si>
  <si>
    <t>ค่าธรรมเนียมอื่น  ๆ</t>
  </si>
  <si>
    <t>(6)</t>
  </si>
  <si>
    <t>ค่าปรับผู้กระทำผิดกฏหมายจราจรทางบก</t>
  </si>
  <si>
    <t>(7)</t>
  </si>
  <si>
    <t>ค่าปรับการผิดสัญญา</t>
  </si>
  <si>
    <t>(8)</t>
  </si>
  <si>
    <t>ค่าปรับผู้กระทำความผิดตาม พรบ. ทะเบียนพาณิชย์</t>
  </si>
  <si>
    <t>(9)</t>
  </si>
  <si>
    <t xml:space="preserve">ค่าปรับอื่น ๆ </t>
  </si>
  <si>
    <t>(10)</t>
  </si>
  <si>
    <t>ค่าใบอนุญาตประกอบการค้าสำหรับกิจการที่เป็นอันตราย</t>
  </si>
  <si>
    <t>(11)</t>
  </si>
  <si>
    <t>ค่าใบอนุญาตจัดตั้งสถานที่จำหน่ายอาหาร</t>
  </si>
  <si>
    <t>(12)</t>
  </si>
  <si>
    <t>ค่าใบอนุญาตจำหน่ายสินค้าในที่หรือสาธารณะ</t>
  </si>
  <si>
    <t>(13)</t>
  </si>
  <si>
    <t>ค่าใบอนุญาตให้ตั้งตลาดเอกชน</t>
  </si>
  <si>
    <t>(14)</t>
  </si>
  <si>
    <t>ค่าใบอนุญาตเกี่ยวกับการควบคุมอาคาร</t>
  </si>
  <si>
    <t>(15)</t>
  </si>
  <si>
    <t xml:space="preserve">ค่าใบอนุญาตอื่น ๆ </t>
  </si>
  <si>
    <t>หมวดรายได้จากทรัพย์สิน</t>
  </si>
  <si>
    <t>ดอกเบี้ยเงินฝากธนาคาร</t>
  </si>
  <si>
    <t xml:space="preserve">รายได้จากทรัพย์สินอื่น ๆ </t>
  </si>
  <si>
    <t>หมวดรายได้จากสาธารณูปโภคและการพาณิชย์</t>
  </si>
  <si>
    <t xml:space="preserve">รายได้จากสาธารณูปโภคอื่น ๆ </t>
  </si>
  <si>
    <t>หมวดรายได้เบ็ดเตล็ด</t>
  </si>
  <si>
    <t>ค่าขายแบบแปลน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</si>
  <si>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</si>
  <si>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</si>
  <si>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</si>
  <si>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 xml:space="preserve">รายได้จากทุนอื่น ๆ </t>
  </si>
  <si>
    <t>หมวดภาษีจัดสรร</t>
  </si>
  <si>
    <t>ภาษีมูลค่าเพิ่มตาม พรบ. กำหนดแผน</t>
  </si>
  <si>
    <t>ภาษีมูลค่าเพิ่ม 1 ใน 9</t>
  </si>
  <si>
    <t>ภาษีธรุกิจเฉพาะ</t>
  </si>
  <si>
    <t>ภาษีสุรา</t>
  </si>
  <si>
    <t>ภาษีสรรพสามิตร</t>
  </si>
  <si>
    <t>ค่าภาคหลวงแร่</t>
  </si>
  <si>
    <t>ค่าภาคหลวงปิโตรเลียม</t>
  </si>
  <si>
    <t>ค่าธรรมเนียมสิทธิและนิติกรรมที่ดิน</t>
  </si>
  <si>
    <t xml:space="preserve">ภาษีจัดสรรอื่น ๆ </t>
  </si>
  <si>
    <t>หมวดเงินอุดหนุนทั่วไป</t>
  </si>
  <si>
    <t>รวมรายรับจริง</t>
  </si>
  <si>
    <t>เทศบาลตำบลบางสน</t>
  </si>
  <si>
    <t>ธนาคาร ธกส. ออมทรัพย์</t>
  </si>
  <si>
    <t>งบกระทบยอดเงินฝากธนาคาร</t>
  </si>
  <si>
    <t>เลขที่  498-2-46286-7</t>
  </si>
  <si>
    <t>จำนวนเงิน</t>
  </si>
  <si>
    <r>
      <rPr>
        <u/>
        <sz val="16"/>
        <rFont val="AngsanaUPC"/>
        <family val="1"/>
      </rPr>
      <t>บวก</t>
    </r>
    <r>
      <rPr>
        <sz val="16"/>
        <rFont val="AngsanaUPC"/>
        <family val="1"/>
        <charset val="222"/>
      </rPr>
      <t xml:space="preserve">   เช็คเงินฝากระหว่างทาง ธ.กรุงไทย  สาขาชุมพร</t>
    </r>
  </si>
  <si>
    <r>
      <t>หัก</t>
    </r>
    <r>
      <rPr>
        <sz val="16"/>
        <rFont val="AngsanaUPC"/>
        <family val="1"/>
        <charset val="222"/>
      </rPr>
      <t xml:space="preserve"> : เช็คจ่ายที่ผู้รับยังไม่นำเงินมาขึ้นเงินกับธนาคาร</t>
    </r>
  </si>
  <si>
    <t xml:space="preserve">วันที่ </t>
  </si>
  <si>
    <t>เลขที่เช็ค</t>
  </si>
  <si>
    <r>
      <rPr>
        <b/>
        <u/>
        <sz val="16"/>
        <rFont val="AngsanaUPC"/>
        <family val="1"/>
      </rPr>
      <t xml:space="preserve"> (หัก)</t>
    </r>
    <r>
      <rPr>
        <sz val="16"/>
        <rFont val="AngsanaUPC"/>
        <family val="1"/>
        <charset val="222"/>
      </rPr>
      <t xml:space="preserve"> รายการกระทบยอดอื่น ๆ</t>
    </r>
  </si>
  <si>
    <t>รายละเอียด</t>
  </si>
  <si>
    <t>ผู้จัดทำ</t>
  </si>
  <si>
    <t>ผู้ตรวจสอบ</t>
  </si>
  <si>
    <t xml:space="preserve">         ตำแหน่ง         ผู้อำนวยการกองคลัง</t>
  </si>
  <si>
    <t>6.อุดหนุน อบต.สะพลี (พัฒนาศักยภาพสถานที่กลาง)</t>
  </si>
  <si>
    <t>3.2  คชจ.ในการจัดทำข้อมุล จปฐในเขตเทศบาล</t>
  </si>
  <si>
    <t>3.3  คชจ.ในการดำเนินการเลือกตั้ง</t>
  </si>
  <si>
    <t>3.4  คชจ.ในการเดินทางไปราชการหรืออบรมสัมนา</t>
  </si>
  <si>
    <t>3.5  คชจ.ในการฝึกอบรมหรือศึกษาดูงาน</t>
  </si>
  <si>
    <t>3.6  ค่าพวงมาลัย  พานประดับพุ่ม</t>
  </si>
  <si>
    <t xml:space="preserve"> 5.  ค่าวัสดุยานพาหนะและขนส่ง</t>
  </si>
  <si>
    <t xml:space="preserve"> 1.  วัสดุสำนักงาน</t>
  </si>
  <si>
    <t xml:space="preserve"> 2.  วัสดุไฟฟ้าและวิทยุ</t>
  </si>
  <si>
    <t xml:space="preserve"> 3.   วัสดุงานบ้านงานครัว</t>
  </si>
  <si>
    <t xml:space="preserve"> 6.  วัสดุเชื้อเพลิงและหล่อลื่น</t>
  </si>
  <si>
    <t xml:space="preserve"> 7.  วัสดุวิทยาศาสตร์หรือการแพทย์</t>
  </si>
  <si>
    <t xml:space="preserve"> 8.  วัสดุการเกษตร</t>
  </si>
  <si>
    <t xml:space="preserve"> 9.  วัสดุโฆษณาและเผยแพร่</t>
  </si>
  <si>
    <t>13.   ค่าวัสดุเครื่องดับเพลิง</t>
  </si>
  <si>
    <t xml:space="preserve"> 14.  ค่าวัสดุก่อสร้าง</t>
  </si>
  <si>
    <t>3.9  คชจ.ในการตั้งจุดตรวจหรือจุดบริการประชาชน</t>
  </si>
  <si>
    <t>3.10  ค่าจ้างเหมาประกอบอาหารกลางวันศพด.บ้านดอนตะเคียน</t>
  </si>
  <si>
    <t>3.11 ค่าจ้างเหมาประกอบอาหารกลางวันศพด.บ้านคอกม้า</t>
  </si>
  <si>
    <t>3.12 คชจ.โครงการป้องกันและควบคุมโรคติดต่อ</t>
  </si>
  <si>
    <t>3.13 คชจ.โครงการและป้องกันโรคพิษสุนัขบ้า</t>
  </si>
  <si>
    <t>3.14 คชจ.โครงการช่วยเหลือผู้ยากไร้ ผู้ด้อยโอกาส</t>
  </si>
  <si>
    <t>3.16 โครงการพัฒนาสัญจร</t>
  </si>
  <si>
    <t>3.7  คชจ.ในการป้องกันและลดอุบัติเหตุทางถนนช่วงเทศกาล</t>
  </si>
  <si>
    <t>3.8  คชจ.ในการป้องกันและบรรเทาความเดือดร้อนของประชาชน</t>
  </si>
  <si>
    <t xml:space="preserve">  -   ค่าใช้จ่ายในการสนับสนุนการจัดทำแผนประชาคม</t>
  </si>
  <si>
    <t xml:space="preserve"> -  ค่าใช้จ่ายในการจัดการแข่งขันกีฬาเทศบาล</t>
  </si>
  <si>
    <t xml:space="preserve"> -  ค่าใช้จ่ายในการจัดส่งนักกีฬาเข้าร่วมการแข่งขัน</t>
  </si>
  <si>
    <t xml:space="preserve"> - โครงการดูเหยี่ยวเขาดินสอ</t>
  </si>
  <si>
    <t xml:space="preserve"> -  คชจ.ในการจัดอบรมเพิ่มศักยภาพคณะกรรมการศูนย์เทคโน</t>
  </si>
  <si>
    <t>บริการสาธารณสุข</t>
  </si>
  <si>
    <t>และงานสาธารณสุข</t>
  </si>
  <si>
    <t>อื่น ๆ</t>
  </si>
  <si>
    <t>3.15 คชจ.โครงการสนับสุนกองทุนสวัสดิการชุมชน</t>
  </si>
  <si>
    <t>1.โครงการก่อสร้างถนนลาดยางผิวจราจรแบบแคปซีล</t>
  </si>
  <si>
    <t xml:space="preserve">   สายคอกม้า - ทุ่งเป้ง ม.6</t>
  </si>
  <si>
    <t>3.17 โครงการส่งเสริมและพัฒนาบทบาทสตรี</t>
  </si>
  <si>
    <t>3.18 คชจ.ในการจัดตั้งสำนักงานศูนย์เทคโน</t>
  </si>
  <si>
    <t>3.19 คชจ.ในโครงการจัดทำแนววางทุ่นการประมง</t>
  </si>
  <si>
    <t>3.20 โครงการท้องถิ่นไทย รวมใจภักดิ์  รักษ์พื้นที่สีเขียว</t>
  </si>
  <si>
    <t>ท้องถิ่น</t>
  </si>
  <si>
    <t>6.โครงการก่อสร้างระบบประปาหมู่บ้าน ม.2</t>
  </si>
  <si>
    <t>ณ  วันที่  31  ตุลาคม  2556</t>
  </si>
  <si>
    <t xml:space="preserve">  -2-</t>
  </si>
  <si>
    <t>ค่าธรรมเนียมเก็บขยะมูลฝอย</t>
  </si>
  <si>
    <t>ค่าธรรมเนียมในการออกหนังสือรับรองการแจ้งสถานที่</t>
  </si>
  <si>
    <t>จำหน่ายอาหารหรือสะสมอาหาร</t>
  </si>
  <si>
    <t>ค่าธรรมเนียมปิด โปรย ติดตั้งแผ่นประกาศหรือแผ่นปลิว</t>
  </si>
  <si>
    <t>เพื่อการโฆษณา</t>
  </si>
  <si>
    <t>ค่าธรรมเนียมจัดเก็บขยะมูลฝอย</t>
  </si>
  <si>
    <t>ค่าใบอนุญาตรัยทำการเก็บ ขน สิ่งปฏิกูล หรือมูลฝอย</t>
  </si>
  <si>
    <t>(16)</t>
  </si>
  <si>
    <t>(17)</t>
  </si>
  <si>
    <t>(18)</t>
  </si>
  <si>
    <t>(19)</t>
  </si>
  <si>
    <t>(20)</t>
  </si>
  <si>
    <t>ค่าภาคหลวงแร่และค่าธรรมเนียมตามกฏหมายว่าด้วยป่าไม้</t>
  </si>
  <si>
    <t>เงินอุดหนุนทั่วไป สำหรับดำเนินการตามอำนาจหน้าที่</t>
  </si>
  <si>
    <t>และภารกิจถ่ายโอนเลือกทำ</t>
  </si>
  <si>
    <t xml:space="preserve">     (นางสาวอังคณาวรรณ  สังขมรรทร)</t>
  </si>
  <si>
    <t xml:space="preserve">          ผู้อำนวยการกองคลัง</t>
  </si>
  <si>
    <t xml:space="preserve">   นายกเทศมนตรีตำบลบางสน</t>
  </si>
  <si>
    <t xml:space="preserve">    (นายประวิตร  พุ่มสุวรรณ)</t>
  </si>
  <si>
    <t xml:space="preserve">        ปลัดเทศบาลตำบลบางสน</t>
  </si>
  <si>
    <t>เงินอุดหนุนทั่วไป กำหนดวัตถุประสงค์</t>
  </si>
  <si>
    <t>หมวดเงินอุดหนุนทั่วไปที่รัฐบาลจัดสรรให้</t>
  </si>
  <si>
    <t xml:space="preserve"> -  ค่าจัดการเรียนการสอน</t>
  </si>
  <si>
    <t xml:space="preserve"> - เงินเดือนครู เงินเพิ่มค่าครองชีพชั่วคราวสำหรับข้าราชการ</t>
  </si>
  <si>
    <t xml:space="preserve"> - ค่าตอบแทน เงินเพิ่มค่าครองชีพชั่วคราวและเงินประกันสังคม</t>
  </si>
  <si>
    <t xml:space="preserve"> - ค่าอาหารกลางวัน</t>
  </si>
  <si>
    <t xml:space="preserve"> - เบี้ยยังชีพผู้ป่วยเอดส์</t>
  </si>
  <si>
    <t xml:space="preserve"> - ค่าอาหารเสริม (นม)</t>
  </si>
  <si>
    <t xml:space="preserve"> - เบี้ยยังชีพผู้สูงอายุ</t>
  </si>
  <si>
    <t xml:space="preserve"> - เบี้ยยังชีพผู้พิการ</t>
  </si>
  <si>
    <t xml:space="preserve"> - สนับสนุนการบริการสาธารณสุข</t>
  </si>
  <si>
    <t xml:space="preserve"> - ส่งเสริมศักยภาพการจัดการศึกษาท้องถิ่น</t>
  </si>
  <si>
    <t xml:space="preserve">    ด้านการจัดการศึกษาท้องถิ่น</t>
  </si>
  <si>
    <t xml:space="preserve"> - เบี้ยเสี่ยงภัยศูนย์พัฒนาเด็กเล็ก</t>
  </si>
  <si>
    <t xml:space="preserve"> - การจัดการศึกษาแก่เด็กด้อยโอกาส</t>
  </si>
  <si>
    <t xml:space="preserve"> - 3 -</t>
  </si>
  <si>
    <t xml:space="preserve"> - 4 -</t>
  </si>
  <si>
    <t>เงินรับฝาก- ประกันสังคม</t>
  </si>
  <si>
    <t>เงินเดือนครศูนย์และค่าตอบแทนครูศูนย์</t>
  </si>
  <si>
    <t>เงินเบี้ยยังชีพผู้สูงอายุ</t>
  </si>
  <si>
    <t>เงินเบี้ยยังชีพผู้พิการ</t>
  </si>
  <si>
    <t>ณ  วันที่  30  ตุลาคม  2557</t>
  </si>
  <si>
    <t xml:space="preserve">               (ลงชื่อ)………..........…………………...                                     (ลงชื่อ)……………………………                                 (ลงชื่อ)………………………….......</t>
  </si>
  <si>
    <t xml:space="preserve"> 14 พ.ย 55</t>
  </si>
  <si>
    <t>ลงชื่อ................................................................</t>
  </si>
  <si>
    <t xml:space="preserve">   ลงชื่อ...........................................................</t>
  </si>
  <si>
    <t xml:space="preserve">                ( นางสาวอังคณาวรรณ  สังขมรรทร)</t>
  </si>
  <si>
    <t>เงินขาดบัญชี</t>
  </si>
  <si>
    <t>วันที่  31  ตุลาคม  2558</t>
  </si>
  <si>
    <t>ภาษีรถยนต์และล้อเลื่อน</t>
  </si>
  <si>
    <t xml:space="preserve">   รวมรายรับจริง</t>
  </si>
  <si>
    <t xml:space="preserve">   รวมรายรับจริงทั้งสิ้น</t>
  </si>
  <si>
    <t>วันที่  30  พฤศจิกายน  2558</t>
  </si>
  <si>
    <t xml:space="preserve">         (นายกฤตัชญ์  รัตนพันธ์</t>
  </si>
  <si>
    <t xml:space="preserve">   หัวหน้าสำนักปลัด  รักษาราชการ</t>
  </si>
  <si>
    <t xml:space="preserve">                                                   ณ วันที่  30  ตุลาคม 2558</t>
  </si>
  <si>
    <t>เงินอุดหนุนทั่วไป-เบี้ยยังชีพคนพิการ</t>
  </si>
  <si>
    <t>เงินอุดหนุนทั่วไป-เบี้ยยังชีพผู้สูงอายุ</t>
  </si>
  <si>
    <t>เงินอุดหนุนทั่วไป-เงินเดือนและค่าตอบแทน ศพด.</t>
  </si>
  <si>
    <t>เงินรับฝาก-ประกันสังคม ศพด.</t>
  </si>
  <si>
    <t>เงินอุดหนุนเฉพาะกิจ - ปรับปรุงถนน คศล. สายอาชา</t>
  </si>
  <si>
    <t>เงินอุดหนุนเฉพาะกิจ-ถนนคสล. สายอาชา-บ้านล่าง</t>
  </si>
  <si>
    <t xml:space="preserve">                         (น.ส.อังคณาวรรณ  สังขมรรทร)                                      (นายกฤตัชญ์  รัตนพันธ์)                                             (นายประวิตร  พุ่มสุวรรณ)</t>
  </si>
  <si>
    <t xml:space="preserve">                              ผู้อำนวยการกองคลัง                                       หัวหน้าสำนักปลัด  รักษาราชการแทน                                  นายกเทศมนตรีตำบลบางสน</t>
  </si>
  <si>
    <t xml:space="preserve">            ปลัดเทศบาลตำบลบางสน</t>
  </si>
  <si>
    <t xml:space="preserve"> - เงินประกันสังคม</t>
  </si>
  <si>
    <t xml:space="preserve"> - ค่าตอบแทน เงินเพิ่มค่าครองชีพชั่วคราว</t>
  </si>
  <si>
    <t xml:space="preserve">                                                   ณ วันที่  30  พฤศจิกายน 2558</t>
  </si>
  <si>
    <t>เงินอุดหนุนทั่วไปกำหนดวัคถุประสงค์ - ค่าจัดการเรียนการสอน</t>
  </si>
  <si>
    <t>เงินอุดหนุนทั่วไปกำหนดวัคถุประสงค์ - เบี้ยยังชีพผู้สูงอายุ</t>
  </si>
  <si>
    <t>เงินอุดหนุนทั่วไปกำหนดวัคถุประสงค์ - เบี้ยผู้พิการ</t>
  </si>
  <si>
    <t>เงินอุดหนุนเฉพาะกิจ - ปรับปรุงถนน คศล. สายอาชา-บ้าล่าง</t>
  </si>
  <si>
    <t>ค่ารักษาพยาบาล สปสช.</t>
  </si>
  <si>
    <t>เงินมัดจำประกันสัญญา</t>
  </si>
  <si>
    <t>วันที่  31  ธันวาคม  2558</t>
  </si>
  <si>
    <t xml:space="preserve">                                                   ณ วันที่  31  ธันวาคม 2558</t>
  </si>
  <si>
    <t>เงินมัดจำปะกันสัญญา</t>
  </si>
  <si>
    <t>รับคืนเงินค่าภาษี หัก ณที่จ่าย</t>
  </si>
  <si>
    <t>รับคืนเงินค่าครองชีพของนายสำราญ  รัตนเทพี</t>
  </si>
  <si>
    <t>เงินประกันซอง</t>
  </si>
  <si>
    <t>วันที่  31  มกราคม  2559</t>
  </si>
  <si>
    <t xml:space="preserve">                                                   ณ วันที่  31  มกราคม  2559</t>
  </si>
  <si>
    <t>เงินอุดหนุนทั่วไป-</t>
  </si>
  <si>
    <t>เงินอุดหนุนทั่วไปกำหนดวัตถุประสงค์-เงินเดือนและค่าตอบแทน ศพด.</t>
  </si>
  <si>
    <t xml:space="preserve">เงินรับฝาก-ประกันสังคม </t>
  </si>
  <si>
    <t xml:space="preserve">                                                   ณ วันที่  29  กุมภาพันธ์   2559</t>
  </si>
  <si>
    <t>วันที่  29  กุมภาพันธ์   2559</t>
  </si>
  <si>
    <t>ค่าปรับผิดสัญญา</t>
  </si>
  <si>
    <t>ปีงบประมาณ…2559....</t>
  </si>
  <si>
    <t xml:space="preserve">                   ปลัดเทศบาลตำบลบางสน</t>
  </si>
  <si>
    <t xml:space="preserve">                         (น.ส.อังคณาวรรณ  สังขมรรทร)                                       (นายกฤตัชญ์  รัตนพันธ์)                                             (นายประวิตร  พุ่มสุวรรณ)</t>
  </si>
  <si>
    <t xml:space="preserve">               (ลงชื่อ)………..........…………………...                                     (ลงชื่อ)……………….........……………                               (ลงชื่อ)…………………............……….......</t>
  </si>
  <si>
    <t>วันที่  31  มีนาคม  2559</t>
  </si>
  <si>
    <t>ณ  วันที่  30  ตุลาคม  2558</t>
  </si>
  <si>
    <t xml:space="preserve">           (นายประวิตร      พุ่มสุวรรณ)</t>
  </si>
  <si>
    <t xml:space="preserve">           นายกเทศมนตรีตำบลบางสน</t>
  </si>
  <si>
    <t xml:space="preserve">                                          ลงชื่อ..............................................................................</t>
  </si>
  <si>
    <t>ผู้อำนวยการกองคลัง</t>
  </si>
  <si>
    <t xml:space="preserve">                                                           (นส.อังคณาวรรณ  สังขมรรทร)</t>
  </si>
  <si>
    <t>หัวหน้าสำนักปลัด   รักษาราชการแทน</t>
  </si>
  <si>
    <t>ปลัดเทศบาลตำบลบางสน</t>
  </si>
  <si>
    <t xml:space="preserve">                                                                   (นายกฤตัช  รัตนพันธ์)</t>
  </si>
  <si>
    <t>ลงชื่อ.....................................................................</t>
  </si>
  <si>
    <t xml:space="preserve">   ลงชื่อ....................................................................</t>
  </si>
  <si>
    <t>งบประมาณ</t>
  </si>
  <si>
    <t>5. เงินสมทบกองทุนบำเหน็จ/บำนาญ กบท)</t>
  </si>
  <si>
    <t xml:space="preserve">   -  ค่ตอบแทนพนักงานจ้าง</t>
  </si>
  <si>
    <t>3.2 ค่าชดใช้ค่าเสียหายหรือค่าสินไหมทดแทน</t>
  </si>
  <si>
    <t>3.5   ค่าพวงมาลัย  พานประดับพุ่ม ช่อดอกไม้ กระเช้าดอกไม้</t>
  </si>
  <si>
    <t>3.6 โครงการอบรมคุณธรรม จริยธรรม เพื่อพัฒนาบุคลากร</t>
  </si>
  <si>
    <t>3.7   คชจ.ในการฝึกอบรมหรือศึกษาดูงาน</t>
  </si>
  <si>
    <t>4.  .ค่าวัสดุก่อสร้าง</t>
  </si>
  <si>
    <t>7.  วัสดุการเกษตร</t>
  </si>
  <si>
    <t>8.  วัสดุโฆษณาและเผยแพร่</t>
  </si>
  <si>
    <t>9.  ค่าวัสดุคอมพิวเตอร์</t>
  </si>
  <si>
    <t>10.  ค่าอาหารเสริม (นม)</t>
  </si>
  <si>
    <t>11.  วัสดุวิทยาศาสตร์หรือการแพทย์</t>
  </si>
  <si>
    <t>12. ค่าวัสดุเครื่องแต่งกาย</t>
  </si>
  <si>
    <t>13.  ค่าวัสดุกีฬา</t>
  </si>
  <si>
    <t>14.  ค่าวัสดุเครื่องดับเพลิง</t>
  </si>
  <si>
    <t>2. ค่าบริการโทรศัพท์</t>
  </si>
  <si>
    <t>4.  ค่าบริการสื่อสารและโทรคมนาคม</t>
  </si>
  <si>
    <t>งบลงทุน</t>
  </si>
  <si>
    <t>หมวดค่าครุภัณฑ์</t>
  </si>
  <si>
    <t>2. ค่าบำรุงรักษาและปรับปรุงครุภัณฑ์</t>
  </si>
  <si>
    <t>1.  ค่าใช้จ่ายในการวิจัยเชิงสำรวจความพึงพอใจของประชาชน</t>
  </si>
  <si>
    <t>1. ซื้อเครื่องปรับอากาศ  จำนวน 3  เครื่อง</t>
  </si>
  <si>
    <t xml:space="preserve">     ครุภัณฑ์สำนักงาน</t>
  </si>
  <si>
    <t xml:space="preserve">     ครุภัณฑ์คอมพิวเตอร์</t>
  </si>
  <si>
    <r>
      <t xml:space="preserve"> </t>
    </r>
    <r>
      <rPr>
        <sz val="12"/>
        <rFont val="Angsana New"/>
        <family val="1"/>
      </rPr>
      <t>1. โครงการจัดซื้อคอมพิวเตอร์  จำนวน 1 เครื่อง</t>
    </r>
  </si>
  <si>
    <t xml:space="preserve"> 2. โครงการจัดซื้อเครื่องสำรองไฟฟ้า  ขนาด 800 VA  1  เครื่อง</t>
  </si>
  <si>
    <t>3.8  โครงการป้องกันและลดอุบัติเหตุทางถนนช่วงเทศกาล</t>
  </si>
  <si>
    <t>3.9  คชจ.ในการฝึกอบรมทบทวน อปพร.</t>
  </si>
  <si>
    <t>3.10   คชจ.ในการป้องกันและบรรเทาสาธารณภัย</t>
  </si>
  <si>
    <t>ณ วันที่  31 ตุลาคม  2558</t>
  </si>
  <si>
    <t>อุดหนุนเฉพาะกิจ-โครงการก่อสร้างถนน คสล.สายอาชาบ้านล่าง  ม. 2,5</t>
  </si>
  <si>
    <t>เงินเดือน (ก)</t>
  </si>
  <si>
    <t xml:space="preserve">เงินอุดหนุนเฉพาะกิจ-โครงการก่อสร้างถนน คสล. สายอาชา-บ้านล่าง  </t>
  </si>
  <si>
    <t>กำหนดวัตถุประสงค์-เบี้ยยังชีพผู้สูงอายุ</t>
  </si>
  <si>
    <t>กำหนดวัตถุประสงค์-เบี้ยยังชีพผู้พิการ</t>
  </si>
  <si>
    <t>กำหนดวัตถุประสงค์-เงินเดือนครูและค่าตอบแทนครู ศพด.</t>
  </si>
  <si>
    <t>กำหนดวัตถุประสงค์-เงินประกันสังคมครู ศพด.</t>
  </si>
  <si>
    <t xml:space="preserve">                 ผู้อำนวยการกองคลัง                                           หัวหน้าสำนักปลัด  รักษาราชการแทน                                                  นายกเทศมนตรีตำบลบางสน</t>
  </si>
  <si>
    <t xml:space="preserve">   (ลงชื่อ)……........…………………….                                            (ลงชื่อ)……………….....…………...                                           (ลงชื่อ)….......……....……………………        </t>
  </si>
  <si>
    <t xml:space="preserve">                                                                                                ปลัดเทศบาลตำบลบางสน</t>
  </si>
  <si>
    <t xml:space="preserve">           (น.ส.อังคณาวรรณ  สังขมรรทร)                                             (นายกฤตัชญ์  รัตนพันธ์)                                                          (นายประวิตร  พุ่มสุวรรณ)</t>
  </si>
  <si>
    <t>ณ วันที่  30  พฤศจิกายน  2558</t>
  </si>
  <si>
    <t>ค่ารักษาพยาบาล สปสช</t>
  </si>
  <si>
    <t>กำหนดวัตถุประสงค์-ค่าจัดการเรียนการสอน</t>
  </si>
  <si>
    <t>เงินเดือน (ก)  เงินเดือนครู ศพด.</t>
  </si>
  <si>
    <t>ณ วันที่  31  ธันวาคม  2558</t>
  </si>
  <si>
    <t>ณ วันที่  31 มกราคม  2559</t>
  </si>
  <si>
    <t>ณ วันที่  29   กุมภาพันธ์   2559</t>
  </si>
  <si>
    <t>ค่าปรับผิดสัญญาจังหวัด</t>
  </si>
  <si>
    <t>ณ วันที่    31  มีนาคม  2559</t>
  </si>
  <si>
    <t>ยอดคงเหลือตามบัญชี ณ วันที่    31  ตุลาคม  2558</t>
  </si>
  <si>
    <t xml:space="preserve">        รวมรายรับจริง</t>
  </si>
  <si>
    <t xml:space="preserve"> รวมรายรับจริงทั้งสิ้น</t>
  </si>
  <si>
    <t xml:space="preserve">                                                   ณ วันที่  31  มีนาคม   2559</t>
  </si>
  <si>
    <t>เงินเดือนครูศูนย์และค่าตอบแทนครูศูนย์</t>
  </si>
  <si>
    <t>วันที่  30   เมษายน   2559</t>
  </si>
  <si>
    <t xml:space="preserve">                                                   ณ วันที่  30  เมษายน   2559</t>
  </si>
  <si>
    <t xml:space="preserve">                         ปลัดเทศบาลตำบลบางสน</t>
  </si>
  <si>
    <t>เบิกเกินส่งคืน</t>
  </si>
  <si>
    <t>เงินอุดหนุนเฉพาะกิจ-ก่อสร้างประปาหมู่บ้าน ม.8</t>
  </si>
  <si>
    <t>เงินอุดหนุนเฉพาะกิจ-ก่อสร้างระบบประปา ม.8</t>
  </si>
  <si>
    <t xml:space="preserve">                                                   ณ วันที่  31  พฤษภาคม   2559</t>
  </si>
  <si>
    <t>วันที่  31   พฤษภาคม   2559</t>
  </si>
  <si>
    <t>เงินรับฝาก-ประกันสังคม  ศพด.</t>
  </si>
  <si>
    <t>วันที่  30  มิถุนายน  2559</t>
  </si>
  <si>
    <t xml:space="preserve">         (นายกฤตัชญ์  รัตนพันธ์)</t>
  </si>
  <si>
    <t>ประกันสังคม ศพด.</t>
  </si>
  <si>
    <t>เงินอุดหนุนเฉพาะกิจ - ปรับปรุงถนน คศล. สายอาชา-บ้านล่าง</t>
  </si>
  <si>
    <t xml:space="preserve">                                                   ณ วันที่  30  มิถุนายน  2559</t>
  </si>
  <si>
    <t xml:space="preserve">  เงินอุดหนุนเฉพาะกิจ</t>
  </si>
  <si>
    <t xml:space="preserve"> -  ค่าก่อสร้างระบบประปาหมู่บ้าน แบบผิวดินขนาดใหญ่</t>
  </si>
  <si>
    <t xml:space="preserve">    หมู่  8</t>
  </si>
  <si>
    <t xml:space="preserve">  - โครงการปรับปรุงถนน คสล.  สายอาชา-บ้านล่าง</t>
  </si>
  <si>
    <t xml:space="preserve"> -  4  -</t>
  </si>
  <si>
    <t xml:space="preserve">    หมู่ 6</t>
  </si>
  <si>
    <t>เงินอุดหนุนเฉพาะกิจ-โครงการก่อสร้างถนน คสล. สายอาชา-บ้านล่าง  ม.2,5</t>
  </si>
  <si>
    <t>ณ วันที่    30  เมษายน 2559</t>
  </si>
  <si>
    <t>อุดหนุนเฉพาะกิจ-โครงการก่อสร้างระบบประปาหมู่บ้าน ม. 8</t>
  </si>
  <si>
    <t xml:space="preserve">                 ผู้อำนวยการกองคลัง                                             หัวหน้าสำนักปลัด  รักษาราชการแทน                                                 นายกเทศมนตรีตำบลบางสน</t>
  </si>
  <si>
    <t>ณ วันที่    31  พฤษภาคม 2559</t>
  </si>
  <si>
    <t>ณ วันที่    30  มิถุนายน 2559</t>
  </si>
  <si>
    <t>อุดหนุนเฉพาะกิจ-โครงการก่อสร้างระบบประปาหมู่บ้าน ม. 6</t>
  </si>
  <si>
    <t>เงินอุดหนุนเฉพาะกิจ-ก่อสร้างประปาหมู่บ้าน ม.6</t>
  </si>
  <si>
    <t>เงินอุดหนุนเฉพาะกิจ-ก่อสร้างระบบประปา ม.6</t>
  </si>
  <si>
    <t xml:space="preserve">                                                   ณ วันที่  31  กรกฎาคม  2559</t>
  </si>
  <si>
    <t>วันที่  31  กรกฎาคม  2559</t>
  </si>
  <si>
    <t>รับคืนเงิน อสม. ปี58</t>
  </si>
  <si>
    <t>รับคืนเงินค่าวัสดุเชื้อเพลิง</t>
  </si>
  <si>
    <t>ณ วันที่    31  กรกฎาคม  2559</t>
  </si>
  <si>
    <t xml:space="preserve">                                                   ณ วันที่  31 สิงหาคม  2559</t>
  </si>
  <si>
    <t>วันที่  31  สิงหาคม  2559</t>
  </si>
  <si>
    <t>รับเงินประกันสังคม ศพด.</t>
  </si>
  <si>
    <t>ค่าปรับผิดสัญญาส่งจังหวัด</t>
  </si>
  <si>
    <t>เงินรับฝากเบี้ยผู้สูงอายุ</t>
  </si>
  <si>
    <t>เงินรับฝากเบี้ยผู้พิการ</t>
  </si>
  <si>
    <t>ค่าปรับผิดสัญญานำส่งจังหวัด</t>
  </si>
  <si>
    <t>ค่าปรับผิดสัญญานำส่งจังหวัดของปี 58</t>
  </si>
  <si>
    <t>ค่าสื่อการเรียนการสอน</t>
  </si>
  <si>
    <t>ณ วันที่    31  สิงหาคม  2559</t>
  </si>
  <si>
    <t>เงินอุดหนุนทั่วไปกำหนดวัตถุผระสงค์-ค่าจัดการเรียนการสอน</t>
  </si>
  <si>
    <t>วันที่  30   กันยายน   2559</t>
  </si>
  <si>
    <t xml:space="preserve">                                                   ณ วันที่  30  กันยายน  2559</t>
  </si>
  <si>
    <t>เงินรับฝาก- เงินโครงการบริหารจัดการศูนย์บริการคนพิการ</t>
  </si>
  <si>
    <t>เงินเกินบัญชี</t>
  </si>
  <si>
    <t>ณ วันที่    30  กันยายน  2559</t>
  </si>
  <si>
    <t xml:space="preserve">  - โครงการปรับปรุงถนน คสล.  สายอาชา-บ้านล่าง หมู่  2,5</t>
  </si>
  <si>
    <t>ค่าปรับผิดสัญญารอส่งจังหวัด</t>
  </si>
  <si>
    <t>เงินรับฝาก-เงินอุดหนุนโครงการบริการจัดการศูนย์บริการคนพิการ</t>
  </si>
  <si>
    <t>รับคืนเงินค่าลงทะเบียน e-lass</t>
  </si>
  <si>
    <t>รับเงินเข้าค่าตอบแทนเนื่องจากจ่ายไว้ขาดไป</t>
  </si>
  <si>
    <t>เงินประกันสังคม -ครูศพด.</t>
  </si>
  <si>
    <t>เปลี่ยนใหม่</t>
  </si>
  <si>
    <t>งบทดลอง   (ก่อนปิดบัญชี)</t>
  </si>
  <si>
    <t>ยอดคงเหลือตามรายงานธนาคาร ณ วันที่  31  ตุลาคม  2558</t>
  </si>
  <si>
    <t>21 ก.ค 57</t>
  </si>
  <si>
    <t>25 ก.ย 58</t>
  </si>
  <si>
    <t>21  ต.ค 58</t>
  </si>
  <si>
    <t xml:space="preserve">            ภาษีโรงเรือนโอนเข้า  2 ต.ค 58 ยังไม่ได้รับเป็นรายได้</t>
  </si>
  <si>
    <t>จ่ายเช็ตขาด เมื่อวันที่ 4 ธันวาคม 2557  ยอดเงิน 6,204 บาท  จ่ายไปจำนวน 6,202 บาท</t>
  </si>
  <si>
    <t xml:space="preserve">                         วันที่  31 ตุลาคม  2558</t>
  </si>
  <si>
    <t>ยอดคงเหลือตามรายงานธนาคาร ณ วันที่ 30  พฤศจิกายน  2558</t>
  </si>
  <si>
    <t>ยอดคงเหลือตามบัญชี ณ วันที่   30  พฤศจิกายน   2558</t>
  </si>
  <si>
    <t xml:space="preserve">                         วันที่  30  พฤศจิกายน  2558</t>
  </si>
  <si>
    <t>ยอดคงเหลือตามรายงานธนาคาร ณ วันที่ 31  ธันวาคม  2558</t>
  </si>
  <si>
    <t>ยอดคงเหลือตามบัญชี ณ วันที่   31  ธันวาคม   2558</t>
  </si>
  <si>
    <t xml:space="preserve">                         วันที่  31   ธันวาคม  2558</t>
  </si>
  <si>
    <t>ยอดคงเหลือตามรายงานธนาคาร ณ วันที่ 31  มกราคม  2559</t>
  </si>
  <si>
    <t>18 ม.ค 59</t>
  </si>
  <si>
    <t>ยอดคงเหลือตามบัญชี ณ วันที่   31  มกราคม   2559</t>
  </si>
  <si>
    <t xml:space="preserve">                         วันที่  31   มกราคม  2559</t>
  </si>
  <si>
    <t>ยอดคงเหลือตามรายงานธนาคาร ณ วันที่ 29   กุมภาพันธ์ 2559</t>
  </si>
  <si>
    <t>5 ก.พ 58</t>
  </si>
  <si>
    <t>26  ก.พ 59</t>
  </si>
  <si>
    <t>29  ก.พ 59</t>
  </si>
  <si>
    <t>ธนาคาร ธกส. หักจ่ายไว้เกิน  140  บาท วันที่  4  ก.พ 59</t>
  </si>
  <si>
    <t>ยอดคงเหลือตามบัญชี ณ วันที่     29  กุมภาพันธ์  2559</t>
  </si>
  <si>
    <t xml:space="preserve">                         วันที่  29   กุมภาพันธ์  2559</t>
  </si>
  <si>
    <t>ยอดคงเหลือตามรายงานธนาคาร ณ วันที่ 31  มีนาคม  2559</t>
  </si>
  <si>
    <t>4 มี.ค 59</t>
  </si>
  <si>
    <t>18 มี.ค 59</t>
  </si>
  <si>
    <t>31  มี.ค 59</t>
  </si>
  <si>
    <t>ยอดคงเหลือตามบัญชี ณ วันที่     31 มีนาคม  2559</t>
  </si>
  <si>
    <t xml:space="preserve">                         วันที่  31  มีนาคม  2559</t>
  </si>
  <si>
    <t>ยอดคงเหลือตามรายงานธนาคาร ณ วันที่   30  เมษายน  2559</t>
  </si>
  <si>
    <t>8  เม.ย  59</t>
  </si>
  <si>
    <t>26 เม.ย 59</t>
  </si>
  <si>
    <t>ยอดคงเหลือตามบัญชี ณ วันที่     30 เมษายน 2559</t>
  </si>
  <si>
    <t xml:space="preserve">                         วันที่  30  เมายน 2559</t>
  </si>
  <si>
    <t>ยอดคงเหลือตามรายงานธนาคาร ณ วันที่  31  พฤษภาคม 2559</t>
  </si>
  <si>
    <t>25  พ.ค 59</t>
  </si>
  <si>
    <t>ยอดคงเหลือตามบัญชี ณ วันที่    31  พฤษภาคม  2559</t>
  </si>
  <si>
    <t xml:space="preserve">               วันที่   31  พฤษภาคม  2559</t>
  </si>
  <si>
    <t>ยอดคงเหลือตามรายงานธนาคาร ณ วันที่  30  มิ.ย  2559</t>
  </si>
  <si>
    <t>6 มิ.ย 59</t>
  </si>
  <si>
    <t>30 มิ.ย 59</t>
  </si>
  <si>
    <t>ธนาคาร ธกส. ไม่ได้หัก  140  บาท วันที่  4  ก.พ 59</t>
  </si>
  <si>
    <t>ยอดคงเหลือตามบัญชี ณ วันที่    30 มิถุนายน  2559</t>
  </si>
  <si>
    <t xml:space="preserve">               วันที่  30  มิถุนายน 2559</t>
  </si>
  <si>
    <t>ยอดคงเหลือตามรายงานธนาคาร ณ วันที่  31   ก.ค  2559</t>
  </si>
  <si>
    <t>12 ก.ค 59</t>
  </si>
  <si>
    <t>25 ก.ค 59</t>
  </si>
  <si>
    <t>29 ก.ค 59</t>
  </si>
  <si>
    <t>ยอดคงเหลือตามบัญชี ณ วันที่    31  กรกฎาคม  2559</t>
  </si>
  <si>
    <t xml:space="preserve">               วันที่  31  กรกฏาคม 2559</t>
  </si>
  <si>
    <t xml:space="preserve">               วันที่  31  กรกฎาคม  2559</t>
  </si>
  <si>
    <t>ยอดคงเหลือตามรายงานธนาคาร ณ วันที่  31   ส.ค  2559</t>
  </si>
  <si>
    <t>15  ส.ค 59</t>
  </si>
  <si>
    <t>24 ส.ต 59</t>
  </si>
  <si>
    <t>26 ส.ต 59</t>
  </si>
  <si>
    <t>30 ส.ค 59</t>
  </si>
  <si>
    <t>31  ส.ค 59</t>
  </si>
  <si>
    <t>จ่ายเช็ตขาด เมื่อวันที่ 26  ธันวาคม 2559  ยอดเงิน 1,937 บาท  จ่ายไปจำนวน 1,917 บาท</t>
  </si>
  <si>
    <t>ยอดคงเหลือตามบัญชี ณ วันที่    31  สิงหาคม  2559</t>
  </si>
  <si>
    <t xml:space="preserve">               วันที่  31  สิงหาคม 2559</t>
  </si>
  <si>
    <t xml:space="preserve">               วันที่  31  สิงหาคม   2559</t>
  </si>
  <si>
    <t>ยอดคงเหลือตามรายงานธนาคาร ณ วันที่  30    ก.ย.  2559</t>
  </si>
  <si>
    <t>เช็คระหว่างทาง</t>
  </si>
  <si>
    <t xml:space="preserve"> 22 ก.ย. 59</t>
  </si>
  <si>
    <t xml:space="preserve"> 23 ก.ย. 59</t>
  </si>
  <si>
    <t>30 ก.ย 59</t>
  </si>
  <si>
    <r>
      <t xml:space="preserve">บวก </t>
    </r>
    <r>
      <rPr>
        <b/>
        <sz val="16"/>
        <rFont val="AngsanaUPC"/>
        <family val="1"/>
        <charset val="222"/>
      </rPr>
      <t xml:space="preserve"> ดอกเบี้ยเข้าวันที่ 24  กันยายน  2559</t>
    </r>
  </si>
  <si>
    <t>ยอดคงเหลือตามบัญชี ณ วันที่    30   กันยายน  2559</t>
  </si>
  <si>
    <t xml:space="preserve">               วันที่  30   กันยายน  2559</t>
  </si>
  <si>
    <t xml:space="preserve">               วันที่    30  กันยายน   2559</t>
  </si>
  <si>
    <t>ธนาคาร กรุงไทย ออมทรัพย์</t>
  </si>
  <si>
    <t>เลขที่  803-0-37858-0</t>
  </si>
  <si>
    <t>ยอดคงเหลือตามรายงานธนาคาร ณ วันที่   30  ตุลาคม   2558</t>
  </si>
  <si>
    <t>24 เม.ย 57</t>
  </si>
  <si>
    <t xml:space="preserve">    ดอกเบี้ยวันที่  30  มิถุนายน 2557</t>
  </si>
  <si>
    <t xml:space="preserve">   เงินเข้า  18  มิถุนายน  2558</t>
  </si>
  <si>
    <t xml:space="preserve">  เช็คระหว่างทาง</t>
  </si>
  <si>
    <t>บวก จ่ายเช็คเกินเมื่อวันที่ 26 ก.พ 58   7,231.78  บาท จ่าย  7,231.79  บาท</t>
  </si>
  <si>
    <t>ยอดคงเหลือตามบัญชี ณ วันที่   30  ตุลาคม  2558</t>
  </si>
  <si>
    <t xml:space="preserve">               วันที่   30  ตุลาคม  2558</t>
  </si>
  <si>
    <t>ยอดคงเหลือตามรายงานธนาคาร ณ วันที่   30  พฤศจิกายน  2558</t>
  </si>
  <si>
    <t>ยอดคงเหลือตามบัญชี ณ วันที่   30 พฤศจิกายน 2558</t>
  </si>
  <si>
    <t xml:space="preserve">               วันที่   30  พฤศจิกายน  2558</t>
  </si>
  <si>
    <t>ยอดคงเหลือตามรายงานธนาคาร ณ วันที่   31  ธันวาคม  2558</t>
  </si>
  <si>
    <t xml:space="preserve">  ดอกเบี้ย  25 ธ.ค 58  ยังไม่ได้รับเข้ารายได้</t>
  </si>
  <si>
    <t>ยอดคงเหลือตามบัญชี ณ วันที่   31 ธันวาคม   2558</t>
  </si>
  <si>
    <t xml:space="preserve">               วันที่   31  ธันวาคม  2558</t>
  </si>
  <si>
    <t>ยอดคงเหลือตามรายงานธนาคาร ณ วันที่   31  มกราคม  2559</t>
  </si>
  <si>
    <t>ยอดคงเหลือตามบัญชี ณ วันที่   31  มกราคม  2559</t>
  </si>
  <si>
    <t xml:space="preserve">               วันที่   31 มกราคม  2559</t>
  </si>
  <si>
    <t>ยอดคงเหลือตามรายงานธนาคาร ณ วันที่   29  กุมภาพันธ์  2559</t>
  </si>
  <si>
    <t>12  ก.พ 59</t>
  </si>
  <si>
    <t>ยอดคงเหลือตามบัญชี ณ วันที่   29  กุมภาพันธ์  2559</t>
  </si>
  <si>
    <t xml:space="preserve">               วันที่   29  กุมภาพันธ์  2559</t>
  </si>
  <si>
    <t>ยอดคงเหลือตามรายงานธนาคาร ณ วันที่  31  มีนาคม  2559</t>
  </si>
  <si>
    <t>ยอดคงเหลือตามบัญชี ณ วันที่   31  มีนาคม  2559</t>
  </si>
  <si>
    <t xml:space="preserve">               วันที่   31  มีนาคม  2559</t>
  </si>
  <si>
    <t xml:space="preserve">               วันที่   31  มีนาคม   2559</t>
  </si>
  <si>
    <t>ยอดคงเหลือตามรายงานธนาคาร ณ วันที่  30  เมษายน  2559</t>
  </si>
  <si>
    <t>ยอดคงเหลือตามบัญชี ณ วันที่   30  เมษายน  2559</t>
  </si>
  <si>
    <t xml:space="preserve">               วันที่   30 เมษายน  2559</t>
  </si>
  <si>
    <t xml:space="preserve">   ดอกเบี้ย วันที่ 30 มิ.ย 59</t>
  </si>
  <si>
    <t>ธนาคาร กรุงไทย กระแสรายวัน</t>
  </si>
  <si>
    <t>เลขที่  803-0-0524-2</t>
  </si>
  <si>
    <t xml:space="preserve">    ยอดเงินจัดสรร</t>
  </si>
  <si>
    <t xml:space="preserve"> - ภาษี พรบ.กำหนดแผน</t>
  </si>
  <si>
    <t xml:space="preserve"> - รถยนต์และล้อเลื่อน</t>
  </si>
  <si>
    <t xml:space="preserve"> - ภาษีสุรา สรรพสามิตร ภาษี 1 ใน 9</t>
  </si>
  <si>
    <t xml:space="preserve"> - ภาษีธุรกิจเฉพาะ</t>
  </si>
  <si>
    <t>ยอดคงเหลือตามรายงานธนาคาร ณ วันที่  31  สิงหาคม  2559</t>
  </si>
  <si>
    <t>30  ส.ค 59</t>
  </si>
  <si>
    <t>ยอดคงเหลือตามบัญชี ณ วันที่   31  สิงหาคม  2559</t>
  </si>
  <si>
    <t xml:space="preserve">               วันที่  31 สิงหาคม   2559</t>
  </si>
  <si>
    <t>ยอดคงเหลือตามรายงานธนาคาร ณ วันที่  30  กันยายน  2559</t>
  </si>
  <si>
    <t>ยอดคงเหลือตามบัญชี ณ วันที่   30  กันยายน  2559</t>
  </si>
  <si>
    <t xml:space="preserve">               วันที่  30  กันยายน  2559</t>
  </si>
  <si>
    <t xml:space="preserve">               วันที่  30  กันยายน    2559</t>
  </si>
  <si>
    <t>รายงานรายจ่ายในการดำเนินงานที่จ่ายจากเงินรายรับตามแผนงานรวม</t>
  </si>
  <si>
    <t>ประจำปี 2559</t>
  </si>
  <si>
    <t>รวมจ่ายจริง</t>
  </si>
  <si>
    <t>สูง (ต่ำ) กว่า</t>
  </si>
  <si>
    <t>5.  บำเหน็จ/บำนาญ</t>
  </si>
  <si>
    <t xml:space="preserve">   -  เงินประจำตำแหน่ง</t>
  </si>
  <si>
    <t xml:space="preserve">   -  ค่าตอบแทนพนักงานจ้าง</t>
  </si>
  <si>
    <t>ต่ำกว่า</t>
  </si>
  <si>
    <t xml:space="preserve">   -  ค่าตอบแทนผู้ปฏิบัติราชการอันเป็นประโยชน์แก่อปท</t>
  </si>
  <si>
    <t xml:space="preserve">   1.  รายจ่ายเพื่อให้ได้มาซึ่งบริการ</t>
  </si>
  <si>
    <t xml:space="preserve">   -  ค่ารับรองในการต้อนรับบุคคลหรือคณะบุคคล</t>
  </si>
  <si>
    <t xml:space="preserve">   -  โครงการจัดงานประเพณี วัฒนธรรมท้องถิ่น</t>
  </si>
  <si>
    <t xml:space="preserve">   -  โครงการบัณฑิตน้อยศูนย์พัฒนาเด็กเล็ก</t>
  </si>
  <si>
    <t xml:space="preserve">   -  โครงการเฉลิมพระเกียรติพระชนมพรรษาพระนางเจ้า</t>
  </si>
  <si>
    <t xml:space="preserve">      พระบรมราชินีนาถ</t>
  </si>
  <si>
    <t xml:space="preserve">   -  โครงการเฉลิมพระเกียรติพระชนมพรรษาพระบาลสมเด็จ</t>
  </si>
  <si>
    <t xml:space="preserve">      พระเจ้าอยู่หัว</t>
  </si>
  <si>
    <t xml:space="preserve">   -  คชจในการรับส่งเสด็จและงานรัฐพิธีต่าง ๆ</t>
  </si>
  <si>
    <t>3.   รายจ่ายเกี่ยวเนื่องกับการปฏิบัติราชการที่</t>
  </si>
  <si>
    <t xml:space="preserve">      ไม่เข้าลักษณะรายจ่ายหมวดอื่น ๆ </t>
  </si>
  <si>
    <t xml:space="preserve">  -   ค่าของขวัญ  ของรางวัลหรือเงินรางวัล</t>
  </si>
  <si>
    <t xml:space="preserve">  -  ค่าชดใช้ค่าเสียหายหรือค่าสินไหมทดแทน</t>
  </si>
  <si>
    <t xml:space="preserve">  -  คชจ.ในการดำเนินการเลือกตั้ง</t>
  </si>
  <si>
    <t xml:space="preserve">  -  คชจ.ในการเดินทางไปราชการหรืออบรมสัมนา</t>
  </si>
  <si>
    <t xml:space="preserve">  -  ค่าพวงมาลัย  พานประดับพุ่ม ช่อดอกไม้</t>
  </si>
  <si>
    <t xml:space="preserve">  - โครงการอบรมคุณธรรม จริยธรรมเพื่อพัฒนาบุคลากรทต.บางสน</t>
  </si>
  <si>
    <t xml:space="preserve">  - โครงการจัดอบรมและศึกษาดูงาน</t>
  </si>
  <si>
    <t xml:space="preserve">  - โครงการป้องกันลดอุบัติเหตุทางถนนช่วงเทศกาล</t>
  </si>
  <si>
    <t xml:space="preserve">  -  คชจ.ในการป้องกันและบรรเทาสาธารณภัยประชาชน</t>
  </si>
  <si>
    <t xml:space="preserve">  - โครงการฝึกอบรมทบทวน อปพร.</t>
  </si>
  <si>
    <t xml:space="preserve">  -  ค่าจ้างเหมาประกอบอาหารกลางวัน ศพด.บ้านดอนตะเคียน</t>
  </si>
  <si>
    <t xml:space="preserve">     และค่าจ้างเหมาประกอบอาหารกลางวัน ศพด.บ้านคอกม้า</t>
  </si>
  <si>
    <t xml:space="preserve">  -  คชจ.โครงการป้องกันและควบคุมโรคติดต่อ</t>
  </si>
  <si>
    <t xml:space="preserve">  -  คชจ.โครงการและป้องกันโรคพิษสุนัขบ้า</t>
  </si>
  <si>
    <t xml:space="preserve">  - โครงการบำบัดฟื้นฟูผู้ติดยาเสพติด</t>
  </si>
  <si>
    <t xml:space="preserve">  - โครงการพัฒนาคุณภาพชีวิตคนชรา พิการและผู้ด้อย</t>
  </si>
  <si>
    <t xml:space="preserve">     โอกาส</t>
  </si>
  <si>
    <t xml:space="preserve">  -  โครงการพัฒนาสัญจร</t>
  </si>
  <si>
    <t xml:space="preserve">  -  โครงการส่งเสริมพัฒนาบทบาทสตรี</t>
  </si>
  <si>
    <t xml:space="preserve">  -  โครงการสนับสนุนจัดทำประชาคมหมู่บ้าน</t>
  </si>
  <si>
    <t xml:space="preserve">  -  โครงการอบรมอาชีพระยะสั้นสำหรับประชาชน</t>
  </si>
  <si>
    <t xml:space="preserve">   -  โครงการในการจัดการแข่งขันกีฬาเทศบาล</t>
  </si>
  <si>
    <t xml:space="preserve">   - โครงการจัดส่งนักกีฬาเข้าร่วมการแข่งขันในกีฬาต่าง ๆ</t>
  </si>
  <si>
    <t xml:space="preserve">  - โครงการงานวันเด็กแห่งชาติ</t>
  </si>
  <si>
    <t xml:space="preserve">  - โครงการงานประเพณีแห่เทียนพรรษา</t>
  </si>
  <si>
    <t xml:space="preserve">  - โครงการสืบสานงานประเพณีสงกรานต์</t>
  </si>
  <si>
    <t xml:space="preserve">  - โครงการสืบสานงานประเพณีลอยกระทง</t>
  </si>
  <si>
    <t xml:space="preserve">  - โครงการสืบสานงานประเพณีสลากภัต</t>
  </si>
  <si>
    <t xml:space="preserve">   - โครงการเทศกาลดูเหยี่ยวแหล่งท่องเที่ยวเขาดินสอ</t>
  </si>
  <si>
    <t xml:space="preserve">  - โครงการท้องถิ่นไทย  รวมใจภักดิ์ รักษ์พื้นที่สีเขียว</t>
  </si>
  <si>
    <t xml:space="preserve">  - โครงการเตรียมความพร้อมการจัดการประชุมเหยี่ยวโลก</t>
  </si>
  <si>
    <t xml:space="preserve">     (ภาคสนาม)</t>
  </si>
  <si>
    <t xml:space="preserve">  - โครงการวางทุ่นแนวเขตพื้นที่อนุรักษ์ทางทะเล</t>
  </si>
  <si>
    <t xml:space="preserve">  - โครงการจัดทำบ้านปลา  ปะการังเทียม</t>
  </si>
  <si>
    <t>4.  รายจ่ายเพื่อบำรุงรักษาหรือซ่อมแซมทรัพย์สิน</t>
  </si>
  <si>
    <t>4.  ค่าอาหารเสริม (นม)</t>
  </si>
  <si>
    <t>7.  วัสดุวิทยาศาสตร์หรือการแพทย์</t>
  </si>
  <si>
    <t>8.  วัสดุการเกษตร</t>
  </si>
  <si>
    <t>9.  วัสดุโฆษณาและเผยแพร่</t>
  </si>
  <si>
    <t>13.  ค่าวัสดุเครื่องดับเพลิง</t>
  </si>
  <si>
    <t>14.  ค่าวัสดุก่อสร้าง</t>
  </si>
  <si>
    <t>2.  ค่าโทรศัพท์</t>
  </si>
  <si>
    <t>3.  ค่าไปรษณีย์ ค่าโทรเลข ค่าธนาณัติ ค่าแสตมป์</t>
  </si>
  <si>
    <t>4.  ค่าบริการทางด้านโทรคมนาคม</t>
  </si>
  <si>
    <t>5.  ค่าน้ำประปา ค่าน้ำบาดาล</t>
  </si>
  <si>
    <t xml:space="preserve"> -  อุดหนุนค่าอาหารกลางวันโรงเรียนบ้านดอนตะเคียน</t>
  </si>
  <si>
    <t xml:space="preserve">    และโรงเรียนบ้านคอกม้า</t>
  </si>
  <si>
    <t xml:space="preserve"> -  อุดหนุนโรงเรียนโครงการพัฒนาคุณธรรมและจริยธรรม</t>
  </si>
  <si>
    <t>1.  เงินอุดหนุนคณะกรรมการพัฒนาสาธารณสุขมูลฐาน</t>
  </si>
  <si>
    <t xml:space="preserve">        งบลงทุน</t>
  </si>
  <si>
    <t xml:space="preserve">   ครุภัณฑ์สำนักงาน</t>
  </si>
  <si>
    <t xml:space="preserve">   -  จัดซื้อเครื่องปรับอากาศ จำนวน 3 เครื่อง</t>
  </si>
  <si>
    <t xml:space="preserve">   -  จัดซื้อตู้เก็บเอกสาร จำนวน 2 ใบ</t>
  </si>
  <si>
    <t xml:space="preserve">  -. โครงการจัดซื้อโต๊ะพลาสติกขาเหล็กพับได้</t>
  </si>
  <si>
    <t xml:space="preserve">  - โครงการจัดซื้อซุ้มเฉลิมพระเกียรติแบบหน้า-หลัง</t>
  </si>
  <si>
    <t xml:space="preserve">   ครุภัณฑ์คอมพิวเตอร์</t>
  </si>
  <si>
    <t xml:space="preserve">   -  โครงการจัดซื้อเครื่องคอมพิวเตอร์สำหรับงานประมวลผล</t>
  </si>
  <si>
    <t xml:space="preserve">      จำนวน 1 เครื่อง</t>
  </si>
  <si>
    <t xml:space="preserve">   -  โครงการจัดซื้อเครื่องสำรองไฟ ขนาด 800 VA จำนวน 1 เครื่อง</t>
  </si>
  <si>
    <t xml:space="preserve">  ค่าบำรุงรักษาและปรับปรุงครุภัณฑ์</t>
  </si>
  <si>
    <t xml:space="preserve">   -  เพื่อจ่ายเป็นค่าดัดแปลง ต่อเติม หรือปรับปรุงครุภัณฑ์</t>
  </si>
  <si>
    <t xml:space="preserve">     ซ่อมแซมและบำรุง</t>
  </si>
  <si>
    <t xml:space="preserve">  ครุภัณฑ์ไฟฟาและวิทยุ</t>
  </si>
  <si>
    <t xml:space="preserve">  - โครงการจัดซื้อระบบเครื่องเสียงจัดงานนอกสถานที่</t>
  </si>
  <si>
    <t xml:space="preserve">    ครุภัณฑ์วิทยาศาสตร์หรือการแพทย์</t>
  </si>
  <si>
    <t xml:space="preserve">   - จัดซื้อเครื่องจ่ายสารเคมี  จำนวน 6 เครื่อง ๆ ละ</t>
  </si>
  <si>
    <t xml:space="preserve">     12,000 บาท</t>
  </si>
  <si>
    <t xml:space="preserve">     ครุภัณฑ์การเกษตร</t>
  </si>
  <si>
    <t xml:space="preserve">   - ค่าจัดซื้อเครื่องสูบน้ำมอเตอร์จุ่มใต้น้ำ </t>
  </si>
  <si>
    <t xml:space="preserve">     จำนวน 2 ตัว ๆ ละ 18,000 บาท</t>
  </si>
  <si>
    <t xml:space="preserve">  - จัดซื้อเครื่องสูบน้ำมอเตอร์ไฟฟ้าแบบหอยโข่ง</t>
  </si>
  <si>
    <t xml:space="preserve">    จำนวน 3 ตัว ๆ 16,000 บาท</t>
  </si>
  <si>
    <t xml:space="preserve">    ครุภัณฑ์โฆษณาและเผยแพร่</t>
  </si>
  <si>
    <t xml:space="preserve">  - โครงการจัดซื้อกล้องถ่ายรูปพร้อมเลนส์มาตรฐาน</t>
  </si>
  <si>
    <t>งบรายจ่ายอื่น</t>
  </si>
  <si>
    <t xml:space="preserve">  - เพื่อเป็นคชจ.ในการวิจัยเชิงสำรวจความพึงพอใจฯ</t>
  </si>
  <si>
    <t>งานไฟฟ้าและถนน</t>
  </si>
  <si>
    <t>หมวดค่าที่ดิน และ สิ่งก่อสร้าง</t>
  </si>
  <si>
    <t xml:space="preserve">1.  โครงการถนนลาดยางผิวจราจรแคปซีล  </t>
  </si>
  <si>
    <t xml:space="preserve">   สายบนสวน-เขาดินสอ หมู่ที่ 6</t>
  </si>
  <si>
    <t>2.  โครงการก่อสร้างถนนคสล.</t>
  </si>
  <si>
    <t xml:space="preserve">     สายหน้าทับ - ปากคลอง ซอย 3(คานเรือ  หมู่ที่ 1</t>
  </si>
  <si>
    <t xml:space="preserve">3.  โครงการก่อสร้างถนนลาดยางผิวจราจรแคปซีล  </t>
  </si>
  <si>
    <t xml:space="preserve">     สายดอนหัน  หมู่ที่ 4</t>
  </si>
  <si>
    <t xml:space="preserve">      สายสมบูรณ์   หมู่ที่  8</t>
  </si>
  <si>
    <t>5.  โครงการก่อสร้างถนนลาดยางผิวจราจรแคปซีล</t>
  </si>
  <si>
    <t xml:space="preserve">     สายดอนกุฎี - ดอนแตง  หมู่ 3</t>
  </si>
  <si>
    <t>6. โครงการติดตั้งไฟฟ้าสาธารณะ  หมู่ 1</t>
  </si>
  <si>
    <t>7. โครงการติดตั้งรั้วกันตกอาคารศูนย์ศึกษาธรรมชาติ</t>
  </si>
  <si>
    <t xml:space="preserve">    เขาดินสอ  หมู่ 8</t>
  </si>
  <si>
    <t>8. โครงการปรับปรุงทางขึ้นลานจอดรถเขาดินสอ</t>
  </si>
  <si>
    <t>(ลงชื่อ)...........................................................</t>
  </si>
  <si>
    <t xml:space="preserve">                  (ลงชื่อ)..................................................................</t>
  </si>
  <si>
    <t>(ลงชื่อ)..............................................</t>
  </si>
  <si>
    <t xml:space="preserve">           (นางสาวอังคณาวรรณ  สังขมรรทร)</t>
  </si>
  <si>
    <t xml:space="preserve">                                                                                      (นายกฤตัชญ์  รัตนพันธ์)</t>
  </si>
  <si>
    <t xml:space="preserve">          (นายประวิตร  พุ่มสุวรรณ)</t>
  </si>
  <si>
    <t xml:space="preserve">                       ผู้อำนวยการกองคลัง</t>
  </si>
  <si>
    <t xml:space="preserve">                                     หัวหน้าสำนักปลัด   รักษาราชการแทน</t>
  </si>
  <si>
    <t xml:space="preserve">        นายกเทศมนตรีตำบลบางสน</t>
  </si>
  <si>
    <t xml:space="preserve">                                ปลัดเทศบาลตำบลบางสน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</si>
</sst>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#,##0.00_ ;\-#,##0.00\ "/>
    <numFmt numFmtId="189" formatCode="_-* #,##0_-;\-* #,##0_-;_-* &quot;-&quot;??_-;_-@_-"/>
  </numFmts>
  <fonts count="10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/>
      <sz val="15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b/>
      <sz val="12"/>
      <name val="AngsanaUPC"/>
      <family val="1"/>
      <charset val="222"/>
    </font>
    <font>
      <b/>
      <sz val="9"/>
      <name val="AngsanaUPC"/>
      <family val="1"/>
      <charset val="222"/>
    </font>
    <font>
      <sz val="10"/>
      <name val="AngsanaUPC"/>
      <family val="1"/>
      <charset val="222"/>
    </font>
    <font>
      <sz val="9"/>
      <name val="AngsanaUPC"/>
      <family val="1"/>
      <charset val="222"/>
    </font>
    <font>
      <sz val="9"/>
      <name val="Arial"/>
      <family val="2"/>
    </font>
    <font>
      <sz val="12"/>
      <name val="AngsanaUPC"/>
      <family val="1"/>
      <charset val="222"/>
    </font>
    <font>
      <b/>
      <u/>
      <sz val="14"/>
      <name val="Angsana New"/>
      <family val="1"/>
    </font>
    <font>
      <b/>
      <sz val="11"/>
      <name val="Angsana New"/>
      <family val="1"/>
    </font>
    <font>
      <sz val="14"/>
      <name val="AngsanaUPC"/>
      <family val="1"/>
      <charset val="222"/>
    </font>
    <font>
      <sz val="11"/>
      <color theme="1"/>
      <name val="Angsana New"/>
      <family val="1"/>
    </font>
    <font>
      <b/>
      <sz val="11"/>
      <color theme="1"/>
      <name val="Angsana New"/>
      <family val="1"/>
    </font>
    <font>
      <sz val="12"/>
      <color theme="1"/>
      <name val="AngsanaUPC"/>
      <family val="1"/>
      <charset val="222"/>
    </font>
    <font>
      <sz val="11"/>
      <name val="Angsana New"/>
      <family val="1"/>
    </font>
    <font>
      <b/>
      <sz val="11"/>
      <name val="AngsanaUPC"/>
      <family val="1"/>
      <charset val="222"/>
    </font>
    <font>
      <b/>
      <sz val="9"/>
      <name val="Arial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u/>
      <sz val="11"/>
      <name val="Angsana New"/>
      <family val="1"/>
    </font>
    <font>
      <sz val="11"/>
      <name val="AngsanaUPC"/>
      <family val="1"/>
      <charset val="222"/>
    </font>
    <font>
      <sz val="12"/>
      <name val="Arial"/>
      <family val="2"/>
    </font>
    <font>
      <b/>
      <sz val="9"/>
      <color theme="1"/>
      <name val="AngsanaUPC"/>
      <family val="1"/>
      <charset val="222"/>
    </font>
    <font>
      <sz val="10"/>
      <color theme="1"/>
      <name val="Arial"/>
      <family val="2"/>
    </font>
    <font>
      <sz val="9"/>
      <color theme="1"/>
      <name val="AngsanaUPC"/>
      <family val="1"/>
      <charset val="222"/>
    </font>
    <font>
      <b/>
      <sz val="12"/>
      <color theme="1"/>
      <name val="AngsanaUPC"/>
      <family val="1"/>
      <charset val="222"/>
    </font>
    <font>
      <sz val="11"/>
      <color theme="1"/>
      <name val="AngsanaUPC"/>
      <family val="1"/>
      <charset val="222"/>
    </font>
    <font>
      <sz val="9"/>
      <color theme="1"/>
      <name val="Arial"/>
      <family val="2"/>
    </font>
    <font>
      <sz val="9"/>
      <color theme="1"/>
      <name val="Tahoma"/>
      <family val="2"/>
      <charset val="222"/>
      <scheme val="minor"/>
    </font>
    <font>
      <b/>
      <sz val="12"/>
      <name val="AngsanaUPC"/>
      <family val="1"/>
    </font>
    <font>
      <sz val="16"/>
      <name val="Cordia New"/>
      <family val="2"/>
    </font>
    <font>
      <sz val="11"/>
      <color theme="1"/>
      <name val="Tahoma"/>
      <family val="2"/>
      <charset val="222"/>
      <scheme val="minor"/>
    </font>
    <font>
      <b/>
      <sz val="20"/>
      <name val="AngsanaUPC"/>
      <family val="1"/>
      <charset val="222"/>
    </font>
    <font>
      <sz val="20"/>
      <name val="AngsanaUPC"/>
      <family val="1"/>
      <charset val="222"/>
    </font>
    <font>
      <b/>
      <sz val="18"/>
      <name val="AngsanaUPC"/>
      <family val="1"/>
      <charset val="222"/>
    </font>
    <font>
      <sz val="16"/>
      <name val="AngsanaUPC"/>
      <family val="1"/>
    </font>
    <font>
      <u/>
      <sz val="16"/>
      <name val="AngsanaUPC"/>
      <family val="1"/>
    </font>
    <font>
      <b/>
      <u/>
      <sz val="16"/>
      <name val="AngsanaUPC"/>
      <family val="1"/>
      <charset val="222"/>
    </font>
    <font>
      <u/>
      <sz val="16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6"/>
      <name val="AngsanaUPC"/>
      <family val="1"/>
    </font>
    <font>
      <sz val="16"/>
      <color rgb="FFFF0000"/>
      <name val="AngsanaUPC"/>
      <family val="1"/>
      <charset val="222"/>
    </font>
    <font>
      <b/>
      <u/>
      <sz val="16"/>
      <name val="AngsanaUPC"/>
      <family val="1"/>
    </font>
    <font>
      <sz val="16"/>
      <color indexed="10"/>
      <name val="AngsanaUPC"/>
      <family val="1"/>
      <charset val="222"/>
    </font>
    <font>
      <sz val="14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sz val="12"/>
      <name val="AngsanaUPC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/>
      <sz val="12"/>
      <name val="Angsana New"/>
      <family val="1"/>
    </font>
    <font>
      <b/>
      <sz val="8"/>
      <name val="Angsana New"/>
      <family val="1"/>
    </font>
    <font>
      <b/>
      <sz val="9"/>
      <color theme="1"/>
      <name val="Angsana New"/>
      <family val="1"/>
    </font>
    <font>
      <b/>
      <sz val="9"/>
      <name val="Angsana New"/>
      <family val="1"/>
    </font>
    <font>
      <b/>
      <sz val="8"/>
      <name val="AngsanaUPC"/>
      <family val="1"/>
      <charset val="222"/>
    </font>
    <font>
      <sz val="8"/>
      <name val="AngsanaUPC"/>
      <family val="1"/>
      <charset val="222"/>
    </font>
    <font>
      <sz val="16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sz val="11"/>
      <name val="Tahoma"/>
      <family val="2"/>
      <charset val="222"/>
      <scheme val="minor"/>
    </font>
    <font>
      <b/>
      <sz val="16"/>
      <name val="Cordia New"/>
      <family val="2"/>
    </font>
    <font>
      <b/>
      <sz val="7"/>
      <name val="AngsanaUPC"/>
      <family val="1"/>
      <charset val="222"/>
    </font>
    <font>
      <b/>
      <sz val="7"/>
      <name val="Cordia New"/>
      <family val="2"/>
    </font>
    <font>
      <sz val="7"/>
      <name val="Arial"/>
      <family val="2"/>
    </font>
    <font>
      <sz val="7"/>
      <name val="AngsanaUPC"/>
      <family val="1"/>
      <charset val="222"/>
    </font>
    <font>
      <sz val="7"/>
      <color theme="1"/>
      <name val="Tahoma"/>
      <family val="2"/>
      <charset val="222"/>
      <scheme val="minor"/>
    </font>
    <font>
      <sz val="7"/>
      <name val="Tahoma"/>
      <family val="2"/>
      <charset val="222"/>
      <scheme val="minor"/>
    </font>
    <font>
      <b/>
      <u/>
      <sz val="10"/>
      <name val="Angsana New"/>
      <family val="1"/>
    </font>
    <font>
      <b/>
      <sz val="10"/>
      <name val="Angsana New"/>
      <family val="1"/>
    </font>
    <font>
      <sz val="10"/>
      <color theme="1"/>
      <name val="Tahoma"/>
      <family val="2"/>
      <charset val="222"/>
      <scheme val="minor"/>
    </font>
    <font>
      <sz val="10"/>
      <name val="Angsana New"/>
      <family val="1"/>
    </font>
    <font>
      <b/>
      <sz val="10"/>
      <name val="AngsanaUPC"/>
      <family val="1"/>
      <charset val="222"/>
    </font>
    <font>
      <b/>
      <sz val="10"/>
      <name val="AngsanaUPC"/>
      <family val="1"/>
    </font>
    <font>
      <b/>
      <sz val="7"/>
      <name val="Arial"/>
      <family val="2"/>
    </font>
    <font>
      <sz val="10"/>
      <name val="AngsanaUPC"/>
      <family val="1"/>
    </font>
    <font>
      <b/>
      <sz val="10"/>
      <name val="Cordia New"/>
      <family val="2"/>
    </font>
    <font>
      <sz val="16"/>
      <color theme="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4">
    <xf numFmtId="0" fontId="0" fillId="0" borderId="0" xfId="0"/>
    <xf numFmtId="0" fontId="5" fillId="0" borderId="0" xfId="3" applyFont="1" applyAlignment="1">
      <alignment horizontal="left"/>
    </xf>
    <xf numFmtId="0" fontId="3" fillId="0" borderId="0" xfId="3" applyFont="1"/>
    <xf numFmtId="0" fontId="3" fillId="0" borderId="0" xfId="3" applyFont="1" applyAlignment="1">
      <alignment horizontal="right"/>
    </xf>
    <xf numFmtId="0" fontId="7" fillId="0" borderId="0" xfId="3" applyFont="1" applyAlignment="1">
      <alignment horizontal="left"/>
    </xf>
    <xf numFmtId="49" fontId="9" fillId="0" borderId="1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49" fontId="9" fillId="0" borderId="4" xfId="3" applyNumberFormat="1" applyFont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8" fillId="0" borderId="5" xfId="3" applyFont="1" applyBorder="1" applyAlignment="1">
      <alignment horizontal="center"/>
    </xf>
    <xf numFmtId="49" fontId="9" fillId="0" borderId="5" xfId="3" applyNumberFormat="1" applyFont="1" applyBorder="1" applyAlignment="1">
      <alignment horizontal="center"/>
    </xf>
    <xf numFmtId="0" fontId="10" fillId="0" borderId="4" xfId="3" applyFont="1" applyBorder="1"/>
    <xf numFmtId="43" fontId="10" fillId="0" borderId="0" xfId="2" applyFont="1" applyBorder="1"/>
    <xf numFmtId="0" fontId="10" fillId="0" borderId="7" xfId="3" applyFont="1" applyBorder="1"/>
    <xf numFmtId="0" fontId="10" fillId="0" borderId="8" xfId="3" applyFont="1" applyBorder="1"/>
    <xf numFmtId="49" fontId="11" fillId="0" borderId="1" xfId="3" applyNumberFormat="1" applyFont="1" applyBorder="1" applyAlignment="1">
      <alignment horizontal="center"/>
    </xf>
    <xf numFmtId="43" fontId="10" fillId="0" borderId="4" xfId="2" applyFont="1" applyBorder="1"/>
    <xf numFmtId="0" fontId="10" fillId="0" borderId="9" xfId="3" applyFont="1" applyBorder="1"/>
    <xf numFmtId="0" fontId="10" fillId="0" borderId="10" xfId="3" applyFont="1" applyBorder="1"/>
    <xf numFmtId="0" fontId="12" fillId="0" borderId="11" xfId="3" applyFont="1" applyBorder="1"/>
    <xf numFmtId="0" fontId="12" fillId="0" borderId="12" xfId="3" applyFont="1" applyBorder="1"/>
    <xf numFmtId="49" fontId="11" fillId="0" borderId="9" xfId="3" applyNumberFormat="1" applyFont="1" applyBorder="1" applyAlignment="1">
      <alignment horizontal="center"/>
    </xf>
    <xf numFmtId="43" fontId="10" fillId="0" borderId="9" xfId="2" applyFont="1" applyBorder="1"/>
    <xf numFmtId="43" fontId="10" fillId="0" borderId="9" xfId="2" applyFont="1" applyBorder="1" applyAlignment="1">
      <alignment horizontal="center"/>
    </xf>
    <xf numFmtId="43" fontId="10" fillId="0" borderId="13" xfId="2" applyFont="1" applyBorder="1"/>
    <xf numFmtId="0" fontId="10" fillId="0" borderId="0" xfId="3" applyFont="1" applyBorder="1"/>
    <xf numFmtId="49" fontId="11" fillId="0" borderId="4" xfId="3" applyNumberFormat="1" applyFont="1" applyBorder="1" applyAlignment="1">
      <alignment horizontal="center"/>
    </xf>
    <xf numFmtId="43" fontId="10" fillId="0" borderId="14" xfId="2" applyFont="1" applyBorder="1"/>
    <xf numFmtId="0" fontId="10" fillId="0" borderId="11" xfId="3" applyFont="1" applyBorder="1"/>
    <xf numFmtId="0" fontId="10" fillId="0" borderId="12" xfId="3" applyFont="1" applyBorder="1"/>
    <xf numFmtId="0" fontId="10" fillId="0" borderId="16" xfId="3" applyFont="1" applyBorder="1"/>
    <xf numFmtId="49" fontId="11" fillId="0" borderId="9" xfId="3" quotePrefix="1" applyNumberFormat="1" applyFont="1" applyBorder="1" applyAlignment="1">
      <alignment horizontal="center"/>
    </xf>
    <xf numFmtId="0" fontId="8" fillId="0" borderId="10" xfId="3" applyFont="1" applyBorder="1"/>
    <xf numFmtId="49" fontId="13" fillId="0" borderId="9" xfId="3" applyNumberFormat="1" applyFont="1" applyBorder="1" applyAlignment="1">
      <alignment horizontal="center"/>
    </xf>
    <xf numFmtId="43" fontId="10" fillId="0" borderId="18" xfId="3" applyNumberFormat="1" applyFont="1" applyBorder="1"/>
    <xf numFmtId="43" fontId="10" fillId="0" borderId="19" xfId="3" applyNumberFormat="1" applyFont="1" applyBorder="1"/>
    <xf numFmtId="43" fontId="10" fillId="0" borderId="20" xfId="2" applyFont="1" applyBorder="1"/>
    <xf numFmtId="0" fontId="3" fillId="0" borderId="0" xfId="3" applyFont="1" applyBorder="1"/>
    <xf numFmtId="43" fontId="3" fillId="0" borderId="0" xfId="3" applyNumberFormat="1" applyFont="1" applyBorder="1"/>
    <xf numFmtId="0" fontId="3" fillId="0" borderId="0" xfId="3" applyFont="1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43" fontId="3" fillId="0" borderId="0" xfId="2" applyFont="1" applyBorder="1"/>
    <xf numFmtId="0" fontId="10" fillId="0" borderId="1" xfId="3" applyFont="1" applyBorder="1"/>
    <xf numFmtId="0" fontId="12" fillId="0" borderId="7" xfId="3" applyFont="1" applyBorder="1"/>
    <xf numFmtId="43" fontId="10" fillId="0" borderId="11" xfId="2" applyFont="1" applyBorder="1"/>
    <xf numFmtId="43" fontId="10" fillId="0" borderId="12" xfId="2" applyFont="1" applyBorder="1"/>
    <xf numFmtId="43" fontId="10" fillId="0" borderId="27" xfId="2" applyFont="1" applyBorder="1"/>
    <xf numFmtId="43" fontId="10" fillId="0" borderId="24" xfId="2" applyFont="1" applyBorder="1"/>
    <xf numFmtId="43" fontId="10" fillId="0" borderId="25" xfId="2" applyFont="1" applyBorder="1"/>
    <xf numFmtId="43" fontId="10" fillId="0" borderId="28" xfId="2" applyFont="1" applyBorder="1"/>
    <xf numFmtId="43" fontId="10" fillId="0" borderId="21" xfId="2" applyFont="1" applyBorder="1"/>
    <xf numFmtId="0" fontId="8" fillId="0" borderId="12" xfId="3" applyFont="1" applyBorder="1"/>
    <xf numFmtId="49" fontId="11" fillId="0" borderId="12" xfId="3" applyNumberFormat="1" applyFont="1" applyBorder="1" applyAlignment="1">
      <alignment horizontal="center"/>
    </xf>
    <xf numFmtId="43" fontId="10" fillId="0" borderId="17" xfId="2" applyFont="1" applyBorder="1" applyAlignment="1">
      <alignment horizontal="center"/>
    </xf>
    <xf numFmtId="43" fontId="10" fillId="0" borderId="4" xfId="2" applyFont="1" applyBorder="1" applyAlignment="1">
      <alignment horizontal="center"/>
    </xf>
    <xf numFmtId="49" fontId="11" fillId="0" borderId="16" xfId="3" applyNumberFormat="1" applyFont="1" applyBorder="1" applyAlignment="1">
      <alignment horizontal="center"/>
    </xf>
    <xf numFmtId="43" fontId="10" fillId="0" borderId="22" xfId="2" applyFont="1" applyBorder="1"/>
    <xf numFmtId="43" fontId="10" fillId="0" borderId="29" xfId="2" applyFont="1" applyBorder="1"/>
    <xf numFmtId="43" fontId="10" fillId="0" borderId="4" xfId="3" applyNumberFormat="1" applyFont="1" applyBorder="1"/>
    <xf numFmtId="43" fontId="10" fillId="0" borderId="23" xfId="2" applyFont="1" applyBorder="1"/>
    <xf numFmtId="0" fontId="8" fillId="0" borderId="0" xfId="3" applyFont="1" applyBorder="1"/>
    <xf numFmtId="49" fontId="9" fillId="0" borderId="0" xfId="3" applyNumberFormat="1" applyFont="1" applyAlignment="1">
      <alignment horizontal="center"/>
    </xf>
    <xf numFmtId="0" fontId="8" fillId="0" borderId="30" xfId="3" applyFont="1" applyBorder="1"/>
    <xf numFmtId="0" fontId="13" fillId="0" borderId="0" xfId="3" applyFont="1" applyAlignment="1">
      <alignment horizontal="left"/>
    </xf>
    <xf numFmtId="0" fontId="10" fillId="0" borderId="31" xfId="3" applyFont="1" applyBorder="1"/>
    <xf numFmtId="0" fontId="10" fillId="0" borderId="24" xfId="3" applyFont="1" applyBorder="1"/>
    <xf numFmtId="0" fontId="8" fillId="0" borderId="0" xfId="3" applyFont="1" applyBorder="1" applyAlignment="1">
      <alignment horizontal="center"/>
    </xf>
    <xf numFmtId="0" fontId="3" fillId="0" borderId="0" xfId="3" applyFont="1" applyAlignment="1">
      <alignment horizontal="left"/>
    </xf>
    <xf numFmtId="0" fontId="10" fillId="0" borderId="0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16" fillId="0" borderId="0" xfId="4" applyFont="1" applyBorder="1"/>
    <xf numFmtId="0" fontId="5" fillId="0" borderId="0" xfId="4" applyFont="1" applyBorder="1"/>
    <xf numFmtId="0" fontId="5" fillId="0" borderId="0" xfId="4" applyFont="1"/>
    <xf numFmtId="0" fontId="9" fillId="0" borderId="9" xfId="4" applyFont="1" applyBorder="1"/>
    <xf numFmtId="49" fontId="9" fillId="0" borderId="9" xfId="4" applyNumberFormat="1" applyFont="1" applyBorder="1" applyAlignment="1">
      <alignment horizontal="center"/>
    </xf>
    <xf numFmtId="43" fontId="5" fillId="0" borderId="21" xfId="5" applyFont="1" applyBorder="1"/>
    <xf numFmtId="43" fontId="5" fillId="0" borderId="9" xfId="5" applyFont="1" applyBorder="1"/>
    <xf numFmtId="43" fontId="5" fillId="0" borderId="21" xfId="5" applyFont="1" applyBorder="1" applyAlignment="1">
      <alignment horizontal="center"/>
    </xf>
    <xf numFmtId="43" fontId="5" fillId="0" borderId="0" xfId="4" applyNumberFormat="1" applyFont="1"/>
    <xf numFmtId="43" fontId="5" fillId="0" borderId="21" xfId="5" applyFont="1" applyBorder="1" applyAlignment="1">
      <alignment horizontal="right"/>
    </xf>
    <xf numFmtId="43" fontId="5" fillId="0" borderId="9" xfId="5" applyFont="1" applyBorder="1" applyAlignment="1">
      <alignment horizontal="center"/>
    </xf>
    <xf numFmtId="43" fontId="5" fillId="0" borderId="39" xfId="5" applyFont="1" applyBorder="1"/>
    <xf numFmtId="43" fontId="5" fillId="0" borderId="26" xfId="5" applyFont="1" applyBorder="1" applyAlignment="1">
      <alignment horizontal="center"/>
    </xf>
    <xf numFmtId="49" fontId="9" fillId="0" borderId="26" xfId="4" applyNumberFormat="1" applyFont="1" applyBorder="1" applyAlignment="1">
      <alignment horizontal="center"/>
    </xf>
    <xf numFmtId="0" fontId="9" fillId="0" borderId="0" xfId="4" applyFont="1"/>
    <xf numFmtId="43" fontId="3" fillId="0" borderId="41" xfId="5" applyFont="1" applyBorder="1"/>
    <xf numFmtId="43" fontId="3" fillId="0" borderId="5" xfId="5" applyFont="1" applyBorder="1"/>
    <xf numFmtId="0" fontId="13" fillId="0" borderId="0" xfId="6" applyFont="1" applyAlignment="1">
      <alignment horizontal="left"/>
    </xf>
    <xf numFmtId="0" fontId="9" fillId="0" borderId="0" xfId="4" applyFont="1" applyBorder="1"/>
    <xf numFmtId="43" fontId="19" fillId="0" borderId="21" xfId="5" applyFont="1" applyBorder="1"/>
    <xf numFmtId="43" fontId="19" fillId="0" borderId="21" xfId="5" applyFont="1" applyBorder="1" applyAlignment="1">
      <alignment horizontal="center"/>
    </xf>
    <xf numFmtId="0" fontId="4" fillId="0" borderId="0" xfId="0" applyFont="1"/>
    <xf numFmtId="0" fontId="11" fillId="0" borderId="10" xfId="0" applyFont="1" applyBorder="1"/>
    <xf numFmtId="0" fontId="11" fillId="0" borderId="0" xfId="0" applyFont="1" applyBorder="1"/>
    <xf numFmtId="0" fontId="11" fillId="0" borderId="15" xfId="0" applyFont="1" applyBorder="1"/>
    <xf numFmtId="0" fontId="11" fillId="0" borderId="11" xfId="0" applyFont="1" applyBorder="1"/>
    <xf numFmtId="43" fontId="20" fillId="0" borderId="9" xfId="2" applyFont="1" applyBorder="1"/>
    <xf numFmtId="43" fontId="20" fillId="0" borderId="9" xfId="2" applyFont="1" applyBorder="1" applyAlignment="1">
      <alignment horizontal="center"/>
    </xf>
    <xf numFmtId="0" fontId="4" fillId="0" borderId="0" xfId="0" applyFont="1" applyAlignment="1"/>
    <xf numFmtId="0" fontId="22" fillId="0" borderId="0" xfId="0" applyFont="1"/>
    <xf numFmtId="0" fontId="23" fillId="0" borderId="37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6" fillId="0" borderId="3" xfId="0" applyFont="1" applyBorder="1"/>
    <xf numFmtId="0" fontId="23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4" xfId="0" applyFont="1" applyBorder="1" applyAlignment="1"/>
    <xf numFmtId="0" fontId="24" fillId="0" borderId="0" xfId="0" applyFont="1" applyBorder="1" applyAlignment="1"/>
    <xf numFmtId="0" fontId="26" fillId="0" borderId="4" xfId="0" applyFont="1" applyBorder="1"/>
    <xf numFmtId="0" fontId="24" fillId="0" borderId="13" xfId="0" quotePrefix="1" applyFont="1" applyBorder="1" applyAlignment="1">
      <alignment horizontal="center"/>
    </xf>
    <xf numFmtId="0" fontId="0" fillId="0" borderId="15" xfId="0" applyBorder="1"/>
    <xf numFmtId="0" fontId="27" fillId="0" borderId="16" xfId="0" applyFont="1" applyBorder="1"/>
    <xf numFmtId="0" fontId="24" fillId="0" borderId="4" xfId="0" applyFont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3" xfId="0" applyFont="1" applyBorder="1"/>
    <xf numFmtId="0" fontId="29" fillId="0" borderId="11" xfId="0" applyFont="1" applyBorder="1"/>
    <xf numFmtId="0" fontId="30" fillId="0" borderId="43" xfId="0" applyFont="1" applyBorder="1" applyAlignment="1">
      <alignment horizontal="center"/>
    </xf>
    <xf numFmtId="43" fontId="28" fillId="0" borderId="44" xfId="2" applyFont="1" applyBorder="1"/>
    <xf numFmtId="4" fontId="28" fillId="0" borderId="44" xfId="2" applyNumberFormat="1" applyFont="1" applyBorder="1"/>
    <xf numFmtId="43" fontId="28" fillId="0" borderId="28" xfId="2" applyFont="1" applyBorder="1"/>
    <xf numFmtId="43" fontId="28" fillId="0" borderId="4" xfId="2" applyFont="1" applyBorder="1"/>
    <xf numFmtId="0" fontId="31" fillId="0" borderId="0" xfId="0" applyFont="1"/>
    <xf numFmtId="0" fontId="32" fillId="0" borderId="11" xfId="0" applyFont="1" applyBorder="1"/>
    <xf numFmtId="0" fontId="33" fillId="0" borderId="10" xfId="0" applyFont="1" applyBorder="1" applyAlignment="1">
      <alignment horizontal="center"/>
    </xf>
    <xf numFmtId="43" fontId="34" fillId="0" borderId="9" xfId="2" applyFont="1" applyBorder="1" applyAlignment="1">
      <alignment horizontal="center"/>
    </xf>
    <xf numFmtId="43" fontId="34" fillId="0" borderId="9" xfId="2" applyFont="1" applyBorder="1"/>
    <xf numFmtId="43" fontId="28" fillId="0" borderId="9" xfId="2" applyFont="1" applyBorder="1"/>
    <xf numFmtId="0" fontId="35" fillId="0" borderId="11" xfId="0" applyFont="1" applyBorder="1"/>
    <xf numFmtId="0" fontId="30" fillId="0" borderId="10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43" fontId="23" fillId="0" borderId="20" xfId="2" applyFont="1" applyBorder="1"/>
    <xf numFmtId="0" fontId="28" fillId="0" borderId="0" xfId="0" applyFont="1"/>
    <xf numFmtId="0" fontId="29" fillId="0" borderId="15" xfId="0" applyFont="1" applyBorder="1"/>
    <xf numFmtId="0" fontId="30" fillId="0" borderId="0" xfId="0" applyFont="1" applyBorder="1" applyAlignment="1">
      <alignment horizontal="center"/>
    </xf>
    <xf numFmtId="4" fontId="28" fillId="0" borderId="28" xfId="2" applyNumberFormat="1" applyFont="1" applyBorder="1"/>
    <xf numFmtId="0" fontId="31" fillId="0" borderId="43" xfId="0" applyFont="1" applyBorder="1"/>
    <xf numFmtId="0" fontId="35" fillId="0" borderId="24" xfId="0" applyFont="1" applyBorder="1"/>
    <xf numFmtId="0" fontId="30" fillId="0" borderId="25" xfId="0" applyFont="1" applyBorder="1" applyAlignment="1">
      <alignment horizontal="center"/>
    </xf>
    <xf numFmtId="4" fontId="28" fillId="0" borderId="9" xfId="2" applyNumberFormat="1" applyFont="1" applyBorder="1"/>
    <xf numFmtId="0" fontId="35" fillId="0" borderId="11" xfId="0" applyFont="1" applyFill="1" applyBorder="1"/>
    <xf numFmtId="0" fontId="30" fillId="0" borderId="10" xfId="0" applyFont="1" applyFill="1" applyBorder="1" applyAlignment="1">
      <alignment horizontal="center"/>
    </xf>
    <xf numFmtId="0" fontId="35" fillId="0" borderId="31" xfId="0" applyFont="1" applyBorder="1"/>
    <xf numFmtId="43" fontId="28" fillId="0" borderId="9" xfId="2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43" fontId="28" fillId="0" borderId="26" xfId="2" applyFont="1" applyBorder="1"/>
    <xf numFmtId="4" fontId="28" fillId="0" borderId="26" xfId="2" applyNumberFormat="1" applyFont="1" applyBorder="1"/>
    <xf numFmtId="0" fontId="26" fillId="0" borderId="42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3" fontId="23" fillId="0" borderId="9" xfId="2" applyFont="1" applyBorder="1"/>
    <xf numFmtId="0" fontId="30" fillId="0" borderId="32" xfId="0" applyFont="1" applyBorder="1" applyAlignment="1">
      <alignment horizontal="center"/>
    </xf>
    <xf numFmtId="43" fontId="23" fillId="0" borderId="26" xfId="2" applyFont="1" applyBorder="1"/>
    <xf numFmtId="0" fontId="30" fillId="0" borderId="12" xfId="0" applyFont="1" applyBorder="1" applyAlignment="1">
      <alignment horizontal="center"/>
    </xf>
    <xf numFmtId="0" fontId="22" fillId="0" borderId="10" xfId="0" applyFont="1" applyBorder="1"/>
    <xf numFmtId="0" fontId="35" fillId="0" borderId="15" xfId="0" applyFont="1" applyBorder="1"/>
    <xf numFmtId="0" fontId="30" fillId="0" borderId="16" xfId="0" applyFont="1" applyBorder="1" applyAlignment="1">
      <alignment horizontal="center"/>
    </xf>
    <xf numFmtId="43" fontId="28" fillId="0" borderId="20" xfId="2" applyFont="1" applyBorder="1"/>
    <xf numFmtId="0" fontId="0" fillId="0" borderId="22" xfId="0" applyBorder="1"/>
    <xf numFmtId="0" fontId="29" fillId="0" borderId="24" xfId="0" applyFont="1" applyBorder="1"/>
    <xf numFmtId="0" fontId="30" fillId="0" borderId="11" xfId="0" applyFont="1" applyBorder="1"/>
    <xf numFmtId="0" fontId="30" fillId="0" borderId="15" xfId="0" applyFont="1" applyBorder="1"/>
    <xf numFmtId="4" fontId="28" fillId="0" borderId="4" xfId="2" applyNumberFormat="1" applyFont="1" applyBorder="1"/>
    <xf numFmtId="0" fontId="0" fillId="0" borderId="30" xfId="0" applyBorder="1"/>
    <xf numFmtId="0" fontId="30" fillId="0" borderId="12" xfId="0" applyFont="1" applyFill="1" applyBorder="1" applyAlignment="1">
      <alignment horizontal="center"/>
    </xf>
    <xf numFmtId="43" fontId="28" fillId="0" borderId="9" xfId="2" applyFont="1" applyBorder="1" applyAlignment="1">
      <alignment horizontal="right"/>
    </xf>
    <xf numFmtId="43" fontId="28" fillId="0" borderId="28" xfId="2" applyFont="1" applyBorder="1" applyAlignment="1">
      <alignment horizontal="right"/>
    </xf>
    <xf numFmtId="0" fontId="0" fillId="0" borderId="43" xfId="0" applyBorder="1"/>
    <xf numFmtId="0" fontId="0" fillId="0" borderId="0" xfId="0" applyBorder="1"/>
    <xf numFmtId="43" fontId="23" fillId="0" borderId="28" xfId="2" applyFont="1" applyBorder="1"/>
    <xf numFmtId="43" fontId="28" fillId="0" borderId="26" xfId="2" applyFont="1" applyBorder="1" applyAlignment="1">
      <alignment horizontal="right"/>
    </xf>
    <xf numFmtId="4" fontId="24" fillId="0" borderId="3" xfId="0" applyNumberFormat="1" applyFont="1" applyBorder="1" applyAlignment="1">
      <alignment horizontal="center"/>
    </xf>
    <xf numFmtId="4" fontId="24" fillId="0" borderId="4" xfId="0" applyNumberFormat="1" applyFont="1" applyFill="1" applyBorder="1" applyAlignment="1">
      <alignment horizontal="center"/>
    </xf>
    <xf numFmtId="4" fontId="24" fillId="0" borderId="4" xfId="0" applyNumberFormat="1" applyFont="1" applyBorder="1" applyAlignment="1">
      <alignment horizontal="center"/>
    </xf>
    <xf numFmtId="4" fontId="24" fillId="0" borderId="13" xfId="0" quotePrefix="1" applyNumberFormat="1" applyFont="1" applyBorder="1" applyAlignment="1">
      <alignment horizontal="center"/>
    </xf>
    <xf numFmtId="4" fontId="23" fillId="0" borderId="20" xfId="2" applyNumberFormat="1" applyFont="1" applyBorder="1"/>
    <xf numFmtId="0" fontId="35" fillId="0" borderId="31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4" xfId="0" quotePrefix="1" applyFont="1" applyBorder="1" applyAlignment="1">
      <alignment horizontal="center"/>
    </xf>
    <xf numFmtId="4" fontId="23" fillId="0" borderId="4" xfId="0" quotePrefix="1" applyNumberFormat="1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9" xfId="0" quotePrefix="1" applyFont="1" applyBorder="1" applyAlignment="1">
      <alignment horizontal="center"/>
    </xf>
    <xf numFmtId="4" fontId="23" fillId="0" borderId="9" xfId="0" quotePrefix="1" applyNumberFormat="1" applyFont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24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4" fontId="23" fillId="0" borderId="9" xfId="0" applyNumberFormat="1" applyFont="1" applyBorder="1" applyAlignment="1">
      <alignment horizontal="center"/>
    </xf>
    <xf numFmtId="43" fontId="23" fillId="0" borderId="9" xfId="2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3" fontId="23" fillId="0" borderId="4" xfId="2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88" fontId="28" fillId="0" borderId="9" xfId="2" applyNumberFormat="1" applyFont="1" applyBorder="1"/>
    <xf numFmtId="43" fontId="28" fillId="0" borderId="9" xfId="2" applyFont="1" applyBorder="1" applyAlignment="1">
      <alignment horizontal="left"/>
    </xf>
    <xf numFmtId="43" fontId="28" fillId="0" borderId="9" xfId="2" applyFont="1" applyBorder="1" applyAlignment="1">
      <alignment horizontal="justify"/>
    </xf>
    <xf numFmtId="4" fontId="28" fillId="0" borderId="9" xfId="2" applyNumberFormat="1" applyFont="1" applyBorder="1" applyAlignment="1">
      <alignment horizontal="justify"/>
    </xf>
    <xf numFmtId="0" fontId="40" fillId="0" borderId="11" xfId="0" applyFont="1" applyBorder="1" applyAlignment="1">
      <alignment horizontal="left"/>
    </xf>
    <xf numFmtId="43" fontId="28" fillId="0" borderId="3" xfId="2" applyFont="1" applyBorder="1"/>
    <xf numFmtId="0" fontId="1" fillId="0" borderId="0" xfId="0" applyFont="1"/>
    <xf numFmtId="4" fontId="42" fillId="0" borderId="0" xfId="0" applyNumberFormat="1" applyFont="1"/>
    <xf numFmtId="0" fontId="25" fillId="0" borderId="0" xfId="0" applyFont="1"/>
    <xf numFmtId="43" fontId="28" fillId="0" borderId="26" xfId="2" applyFont="1" applyBorder="1" applyAlignment="1">
      <alignment horizontal="justify"/>
    </xf>
    <xf numFmtId="0" fontId="1" fillId="0" borderId="22" xfId="0" applyFont="1" applyBorder="1"/>
    <xf numFmtId="0" fontId="40" fillId="0" borderId="24" xfId="0" applyFont="1" applyBorder="1" applyAlignment="1">
      <alignment horizontal="left"/>
    </xf>
    <xf numFmtId="43" fontId="28" fillId="0" borderId="28" xfId="2" applyFont="1" applyBorder="1" applyAlignment="1">
      <alignment horizontal="justify"/>
    </xf>
    <xf numFmtId="0" fontId="24" fillId="0" borderId="16" xfId="0" quotePrefix="1" applyFont="1" applyBorder="1" applyAlignment="1">
      <alignment horizontal="center"/>
    </xf>
    <xf numFmtId="0" fontId="24" fillId="0" borderId="38" xfId="0" quotePrefix="1" applyFont="1" applyBorder="1" applyAlignment="1">
      <alignment horizontal="center"/>
    </xf>
    <xf numFmtId="0" fontId="24" fillId="0" borderId="17" xfId="0" quotePrefix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/>
    <xf numFmtId="0" fontId="43" fillId="0" borderId="38" xfId="0" quotePrefix="1" applyFont="1" applyBorder="1" applyAlignment="1">
      <alignment horizontal="center"/>
    </xf>
    <xf numFmtId="0" fontId="43" fillId="0" borderId="13" xfId="0" quotePrefix="1" applyFont="1" applyBorder="1" applyAlignment="1">
      <alignment horizontal="center"/>
    </xf>
    <xf numFmtId="4" fontId="46" fillId="0" borderId="47" xfId="0" applyNumberFormat="1" applyFont="1" applyBorder="1" applyAlignment="1">
      <alignment horizontal="center"/>
    </xf>
    <xf numFmtId="4" fontId="46" fillId="0" borderId="48" xfId="0" applyNumberFormat="1" applyFont="1" applyBorder="1"/>
    <xf numFmtId="43" fontId="46" fillId="0" borderId="49" xfId="2" applyFont="1" applyBorder="1"/>
    <xf numFmtId="4" fontId="46" fillId="0" borderId="49" xfId="0" applyNumberFormat="1" applyFont="1" applyBorder="1"/>
    <xf numFmtId="0" fontId="46" fillId="0" borderId="37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5" fillId="0" borderId="3" xfId="0" applyFont="1" applyBorder="1"/>
    <xf numFmtId="0" fontId="0" fillId="0" borderId="0" xfId="0" applyFont="1"/>
    <xf numFmtId="0" fontId="46" fillId="0" borderId="15" xfId="0" applyFont="1" applyBorder="1" applyAlignment="1">
      <alignment horizontal="center"/>
    </xf>
    <xf numFmtId="0" fontId="43" fillId="0" borderId="4" xfId="0" applyFont="1" applyBorder="1" applyAlignment="1"/>
    <xf numFmtId="0" fontId="45" fillId="0" borderId="4" xfId="0" applyFont="1" applyBorder="1"/>
    <xf numFmtId="0" fontId="34" fillId="0" borderId="37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43" fontId="34" fillId="0" borderId="3" xfId="2" applyFont="1" applyBorder="1"/>
    <xf numFmtId="0" fontId="44" fillId="0" borderId="0" xfId="0" applyFont="1"/>
    <xf numFmtId="4" fontId="46" fillId="0" borderId="15" xfId="0" applyNumberFormat="1" applyFont="1" applyBorder="1"/>
    <xf numFmtId="4" fontId="46" fillId="0" borderId="0" xfId="0" applyNumberFormat="1" applyFont="1" applyBorder="1"/>
    <xf numFmtId="0" fontId="34" fillId="0" borderId="45" xfId="0" applyFont="1" applyBorder="1" applyAlignment="1">
      <alignment horizontal="center"/>
    </xf>
    <xf numFmtId="0" fontId="1" fillId="0" borderId="15" xfId="0" applyFont="1" applyBorder="1"/>
    <xf numFmtId="0" fontId="1" fillId="0" borderId="0" xfId="0" applyFont="1" applyBorder="1"/>
    <xf numFmtId="4" fontId="26" fillId="0" borderId="3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/>
    </xf>
    <xf numFmtId="4" fontId="26" fillId="0" borderId="13" xfId="0" quotePrefix="1" applyNumberFormat="1" applyFont="1" applyBorder="1" applyAlignment="1">
      <alignment horizontal="center"/>
    </xf>
    <xf numFmtId="4" fontId="43" fillId="0" borderId="15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" fontId="43" fillId="0" borderId="17" xfId="0" quotePrefix="1" applyNumberFormat="1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4" fontId="24" fillId="0" borderId="17" xfId="0" quotePrefix="1" applyNumberFormat="1" applyFont="1" applyBorder="1" applyAlignment="1">
      <alignment horizontal="center"/>
    </xf>
    <xf numFmtId="4" fontId="24" fillId="0" borderId="38" xfId="0" quotePrefix="1" applyNumberFormat="1" applyFont="1" applyBorder="1" applyAlignment="1">
      <alignment horizontal="center"/>
    </xf>
    <xf numFmtId="43" fontId="28" fillId="0" borderId="15" xfId="2" applyFont="1" applyBorder="1"/>
    <xf numFmtId="0" fontId="22" fillId="0" borderId="46" xfId="0" applyFont="1" applyBorder="1"/>
    <xf numFmtId="4" fontId="5" fillId="0" borderId="0" xfId="0" applyNumberFormat="1" applyFont="1"/>
    <xf numFmtId="0" fontId="9" fillId="0" borderId="0" xfId="0" applyFont="1"/>
    <xf numFmtId="0" fontId="5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4" xfId="0" applyFont="1" applyBorder="1"/>
    <xf numFmtId="4" fontId="5" fillId="0" borderId="4" xfId="0" applyNumberFormat="1" applyFont="1" applyBorder="1"/>
    <xf numFmtId="4" fontId="5" fillId="0" borderId="0" xfId="0" applyNumberFormat="1" applyFont="1" applyBorder="1"/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2" xfId="0" applyFont="1" applyBorder="1"/>
    <xf numFmtId="0" fontId="5" fillId="0" borderId="9" xfId="0" applyFont="1" applyBorder="1" applyAlignment="1">
      <alignment horizontal="center"/>
    </xf>
    <xf numFmtId="4" fontId="5" fillId="0" borderId="9" xfId="0" applyNumberFormat="1" applyFont="1" applyBorder="1"/>
    <xf numFmtId="4" fontId="5" fillId="0" borderId="10" xfId="0" applyNumberFormat="1" applyFont="1" applyBorder="1"/>
    <xf numFmtId="4" fontId="5" fillId="0" borderId="26" xfId="0" applyNumberFormat="1" applyFont="1" applyBorder="1"/>
    <xf numFmtId="4" fontId="5" fillId="0" borderId="46" xfId="0" applyNumberFormat="1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4" xfId="0" applyFont="1" applyBorder="1"/>
    <xf numFmtId="4" fontId="9" fillId="0" borderId="4" xfId="0" applyNumberFormat="1" applyFont="1" applyBorder="1"/>
    <xf numFmtId="4" fontId="9" fillId="0" borderId="0" xfId="0" applyNumberFormat="1" applyFont="1" applyBorder="1"/>
    <xf numFmtId="0" fontId="9" fillId="0" borderId="10" xfId="0" applyFont="1" applyBorder="1"/>
    <xf numFmtId="0" fontId="9" fillId="0" borderId="12" xfId="0" applyFont="1" applyBorder="1"/>
    <xf numFmtId="0" fontId="9" fillId="0" borderId="9" xfId="0" applyFont="1" applyBorder="1" applyAlignment="1">
      <alignment horizontal="center"/>
    </xf>
    <xf numFmtId="4" fontId="9" fillId="0" borderId="9" xfId="0" applyNumberFormat="1" applyFont="1" applyBorder="1"/>
    <xf numFmtId="4" fontId="9" fillId="0" borderId="10" xfId="0" applyNumberFormat="1" applyFont="1" applyBorder="1"/>
    <xf numFmtId="0" fontId="5" fillId="0" borderId="0" xfId="0" applyFont="1"/>
    <xf numFmtId="49" fontId="5" fillId="0" borderId="24" xfId="0" applyNumberFormat="1" applyFont="1" applyBorder="1" applyAlignment="1">
      <alignment horizontal="center"/>
    </xf>
    <xf numFmtId="0" fontId="5" fillId="0" borderId="43" xfId="0" applyFont="1" applyBorder="1"/>
    <xf numFmtId="0" fontId="5" fillId="0" borderId="25" xfId="0" applyFont="1" applyBorder="1"/>
    <xf numFmtId="0" fontId="9" fillId="0" borderId="28" xfId="0" applyFont="1" applyBorder="1" applyAlignment="1">
      <alignment horizontal="center"/>
    </xf>
    <xf numFmtId="4" fontId="5" fillId="0" borderId="28" xfId="0" applyNumberFormat="1" applyFont="1" applyBorder="1"/>
    <xf numFmtId="4" fontId="5" fillId="0" borderId="43" xfId="0" applyNumberFormat="1" applyFont="1" applyBorder="1"/>
    <xf numFmtId="0" fontId="5" fillId="0" borderId="28" xfId="0" applyFont="1" applyBorder="1" applyAlignment="1">
      <alignment horizontal="center"/>
    </xf>
    <xf numFmtId="0" fontId="5" fillId="0" borderId="11" xfId="0" applyFont="1" applyBorder="1"/>
    <xf numFmtId="0" fontId="5" fillId="0" borderId="9" xfId="0" applyFont="1" applyBorder="1"/>
    <xf numFmtId="4" fontId="3" fillId="0" borderId="20" xfId="0" applyNumberFormat="1" applyFont="1" applyBorder="1"/>
    <xf numFmtId="4" fontId="3" fillId="0" borderId="22" xfId="0" applyNumberFormat="1" applyFont="1" applyBorder="1"/>
    <xf numFmtId="0" fontId="3" fillId="0" borderId="11" xfId="0" applyFont="1" applyBorder="1"/>
    <xf numFmtId="0" fontId="3" fillId="0" borderId="10" xfId="0" applyFont="1" applyBorder="1"/>
    <xf numFmtId="4" fontId="5" fillId="0" borderId="13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5" fillId="0" borderId="51" xfId="0" applyFont="1" applyBorder="1"/>
    <xf numFmtId="0" fontId="5" fillId="0" borderId="50" xfId="0" applyFont="1" applyBorder="1"/>
    <xf numFmtId="0" fontId="5" fillId="0" borderId="13" xfId="0" applyFont="1" applyBorder="1"/>
    <xf numFmtId="0" fontId="3" fillId="0" borderId="0" xfId="0" applyFont="1" applyBorder="1" applyAlignment="1">
      <alignment horizontal="center"/>
    </xf>
    <xf numFmtId="4" fontId="3" fillId="0" borderId="14" xfId="0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1" fillId="0" borderId="0" xfId="0" applyFont="1"/>
    <xf numFmtId="4" fontId="51" fillId="0" borderId="0" xfId="0" applyNumberFormat="1" applyFont="1"/>
    <xf numFmtId="0" fontId="53" fillId="0" borderId="37" xfId="0" applyFont="1" applyBorder="1"/>
    <xf numFmtId="0" fontId="54" fillId="0" borderId="30" xfId="0" applyFont="1" applyBorder="1"/>
    <xf numFmtId="0" fontId="54" fillId="0" borderId="42" xfId="0" applyFont="1" applyBorder="1"/>
    <xf numFmtId="0" fontId="31" fillId="0" borderId="30" xfId="0" applyFont="1" applyBorder="1"/>
    <xf numFmtId="0" fontId="21" fillId="0" borderId="30" xfId="0" applyFont="1" applyBorder="1"/>
    <xf numFmtId="0" fontId="22" fillId="0" borderId="42" xfId="0" applyFont="1" applyBorder="1"/>
    <xf numFmtId="0" fontId="55" fillId="0" borderId="15" xfId="0" applyFont="1" applyBorder="1"/>
    <xf numFmtId="0" fontId="54" fillId="0" borderId="0" xfId="0" applyFont="1" applyBorder="1"/>
    <xf numFmtId="0" fontId="54" fillId="0" borderId="16" xfId="0" applyFont="1" applyBorder="1"/>
    <xf numFmtId="0" fontId="31" fillId="0" borderId="0" xfId="0" applyFont="1" applyBorder="1"/>
    <xf numFmtId="0" fontId="21" fillId="0" borderId="0" xfId="0" applyFont="1" applyBorder="1"/>
    <xf numFmtId="0" fontId="55" fillId="0" borderId="16" xfId="0" applyFont="1" applyBorder="1"/>
    <xf numFmtId="0" fontId="54" fillId="0" borderId="38" xfId="0" applyFont="1" applyBorder="1"/>
    <xf numFmtId="0" fontId="54" fillId="0" borderId="18" xfId="0" applyFont="1" applyBorder="1"/>
    <xf numFmtId="0" fontId="54" fillId="0" borderId="17" xfId="0" applyFont="1" applyBorder="1"/>
    <xf numFmtId="0" fontId="31" fillId="0" borderId="18" xfId="0" applyFont="1" applyBorder="1"/>
    <xf numFmtId="0" fontId="55" fillId="0" borderId="18" xfId="0" applyFont="1" applyBorder="1"/>
    <xf numFmtId="0" fontId="55" fillId="0" borderId="17" xfId="0" applyFont="1" applyBorder="1"/>
    <xf numFmtId="0" fontId="31" fillId="0" borderId="37" xfId="0" applyFont="1" applyBorder="1"/>
    <xf numFmtId="0" fontId="31" fillId="0" borderId="42" xfId="0" applyFont="1" applyBorder="1"/>
    <xf numFmtId="0" fontId="31" fillId="0" borderId="30" xfId="0" applyFont="1" applyBorder="1" applyAlignment="1">
      <alignment horizontal="center"/>
    </xf>
    <xf numFmtId="0" fontId="22" fillId="0" borderId="15" xfId="0" applyFont="1" applyBorder="1"/>
    <xf numFmtId="0" fontId="22" fillId="0" borderId="0" xfId="0" applyFont="1" applyBorder="1"/>
    <xf numFmtId="0" fontId="22" fillId="0" borderId="16" xfId="0" applyFont="1" applyBorder="1"/>
    <xf numFmtId="43" fontId="21" fillId="0" borderId="0" xfId="7" applyFont="1" applyBorder="1"/>
    <xf numFmtId="0" fontId="56" fillId="0" borderId="15" xfId="0" applyFont="1" applyBorder="1"/>
    <xf numFmtId="0" fontId="58" fillId="0" borderId="15" xfId="0" applyFont="1" applyBorder="1"/>
    <xf numFmtId="0" fontId="0" fillId="0" borderId="16" xfId="0" applyBorder="1"/>
    <xf numFmtId="0" fontId="58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15" fontId="22" fillId="0" borderId="1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43" fontId="22" fillId="0" borderId="16" xfId="7" applyFont="1" applyBorder="1" applyAlignment="1"/>
    <xf numFmtId="15" fontId="56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43" fontId="56" fillId="0" borderId="16" xfId="7" applyFont="1" applyBorder="1" applyAlignment="1"/>
    <xf numFmtId="43" fontId="22" fillId="0" borderId="0" xfId="0" applyNumberFormat="1" applyFont="1" applyBorder="1"/>
    <xf numFmtId="0" fontId="60" fillId="0" borderId="15" xfId="0" applyFont="1" applyFill="1" applyBorder="1"/>
    <xf numFmtId="0" fontId="21" fillId="0" borderId="0" xfId="0" applyFont="1" applyFill="1" applyBorder="1"/>
    <xf numFmtId="0" fontId="61" fillId="0" borderId="0" xfId="0" applyFont="1" applyBorder="1" applyAlignment="1">
      <alignment horizontal="center"/>
    </xf>
    <xf numFmtId="0" fontId="61" fillId="0" borderId="15" xfId="0" applyFont="1" applyBorder="1"/>
    <xf numFmtId="0" fontId="22" fillId="0" borderId="16" xfId="0" applyFont="1" applyBorder="1" applyAlignment="1">
      <alignment horizontal="right"/>
    </xf>
    <xf numFmtId="0" fontId="21" fillId="0" borderId="15" xfId="0" applyFont="1" applyBorder="1"/>
    <xf numFmtId="0" fontId="62" fillId="0" borderId="16" xfId="0" applyFont="1" applyBorder="1" applyAlignment="1">
      <alignment horizontal="right"/>
    </xf>
    <xf numFmtId="43" fontId="22" fillId="0" borderId="15" xfId="7" applyFont="1" applyBorder="1"/>
    <xf numFmtId="43" fontId="21" fillId="0" borderId="53" xfId="7" applyFont="1" applyFill="1" applyBorder="1"/>
    <xf numFmtId="0" fontId="21" fillId="0" borderId="54" xfId="0" applyFont="1" applyFill="1" applyBorder="1"/>
    <xf numFmtId="0" fontId="22" fillId="0" borderId="38" xfId="0" applyFont="1" applyBorder="1"/>
    <xf numFmtId="0" fontId="22" fillId="0" borderId="18" xfId="0" applyFont="1" applyBorder="1"/>
    <xf numFmtId="0" fontId="22" fillId="0" borderId="17" xfId="0" applyFont="1" applyBorder="1"/>
    <xf numFmtId="0" fontId="21" fillId="0" borderId="37" xfId="0" applyFont="1" applyBorder="1"/>
    <xf numFmtId="0" fontId="22" fillId="0" borderId="30" xfId="0" applyFont="1" applyBorder="1"/>
    <xf numFmtId="0" fontId="21" fillId="0" borderId="0" xfId="0" applyFont="1" applyBorder="1" applyAlignment="1">
      <alignment horizontal="center"/>
    </xf>
    <xf numFmtId="0" fontId="64" fillId="0" borderId="17" xfId="0" applyFont="1" applyBorder="1"/>
    <xf numFmtId="0" fontId="60" fillId="0" borderId="0" xfId="0" applyFont="1" applyFill="1" applyBorder="1"/>
    <xf numFmtId="43" fontId="21" fillId="0" borderId="0" xfId="7" applyFont="1" applyFill="1" applyBorder="1"/>
    <xf numFmtId="0" fontId="64" fillId="0" borderId="0" xfId="0" applyFont="1" applyBorder="1"/>
    <xf numFmtId="4" fontId="24" fillId="0" borderId="13" xfId="0" applyNumberFormat="1" applyFont="1" applyBorder="1" applyAlignment="1">
      <alignment horizontal="center"/>
    </xf>
    <xf numFmtId="43" fontId="23" fillId="0" borderId="49" xfId="2" applyFont="1" applyBorder="1"/>
    <xf numFmtId="0" fontId="13" fillId="0" borderId="0" xfId="6" applyFont="1" applyAlignment="1">
      <alignment horizontal="left"/>
    </xf>
    <xf numFmtId="0" fontId="9" fillId="0" borderId="11" xfId="4" applyFont="1" applyBorder="1" applyAlignment="1">
      <alignment horizontal="left" vertical="center"/>
    </xf>
    <xf numFmtId="49" fontId="3" fillId="0" borderId="9" xfId="4" applyNumberFormat="1" applyFont="1" applyBorder="1" applyAlignment="1">
      <alignment horizontal="center" vertical="center"/>
    </xf>
    <xf numFmtId="43" fontId="19" fillId="0" borderId="11" xfId="5" applyFont="1" applyBorder="1" applyAlignment="1">
      <alignment horizontal="right" vertical="center"/>
    </xf>
    <xf numFmtId="0" fontId="3" fillId="0" borderId="9" xfId="4" applyFont="1" applyBorder="1" applyAlignment="1">
      <alignment horizontal="center" vertical="center"/>
    </xf>
    <xf numFmtId="187" fontId="65" fillId="0" borderId="0" xfId="4" applyNumberFormat="1" applyFont="1"/>
    <xf numFmtId="43" fontId="66" fillId="0" borderId="9" xfId="2" applyFont="1" applyBorder="1" applyAlignment="1">
      <alignment horizontal="center"/>
    </xf>
    <xf numFmtId="0" fontId="67" fillId="0" borderId="10" xfId="0" applyFont="1" applyBorder="1"/>
    <xf numFmtId="49" fontId="67" fillId="0" borderId="9" xfId="3" applyNumberFormat="1" applyFont="1" applyBorder="1" applyAlignment="1">
      <alignment horizontal="center"/>
    </xf>
    <xf numFmtId="0" fontId="65" fillId="0" borderId="16" xfId="4" applyFont="1" applyBorder="1" applyAlignment="1">
      <alignment horizontal="center"/>
    </xf>
    <xf numFmtId="0" fontId="9" fillId="0" borderId="40" xfId="4" applyFont="1" applyBorder="1"/>
    <xf numFmtId="49" fontId="9" fillId="0" borderId="40" xfId="4" applyNumberFormat="1" applyFont="1" applyBorder="1" applyAlignment="1">
      <alignment horizontal="center"/>
    </xf>
    <xf numFmtId="4" fontId="68" fillId="0" borderId="9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31" xfId="0" applyFont="1" applyBorder="1"/>
    <xf numFmtId="0" fontId="5" fillId="0" borderId="46" xfId="0" applyFont="1" applyBorder="1"/>
    <xf numFmtId="0" fontId="5" fillId="0" borderId="26" xfId="0" applyFont="1" applyBorder="1"/>
    <xf numFmtId="0" fontId="66" fillId="0" borderId="11" xfId="3" applyFont="1" applyBorder="1"/>
    <xf numFmtId="0" fontId="5" fillId="0" borderId="18" xfId="0" applyFont="1" applyBorder="1" applyAlignment="1">
      <alignment horizontal="center"/>
    </xf>
    <xf numFmtId="0" fontId="5" fillId="0" borderId="40" xfId="0" applyFont="1" applyBorder="1"/>
    <xf numFmtId="49" fontId="5" fillId="0" borderId="31" xfId="0" applyNumberFormat="1" applyFont="1" applyBorder="1" applyAlignment="1">
      <alignment horizontal="center"/>
    </xf>
    <xf numFmtId="0" fontId="5" fillId="0" borderId="32" xfId="0" applyFont="1" applyBorder="1"/>
    <xf numFmtId="4" fontId="5" fillId="0" borderId="18" xfId="0" applyNumberFormat="1" applyFont="1" applyBorder="1"/>
    <xf numFmtId="0" fontId="5" fillId="0" borderId="0" xfId="0" applyFont="1" applyAlignment="1"/>
    <xf numFmtId="0" fontId="9" fillId="0" borderId="0" xfId="0" applyFont="1" applyAlignment="1"/>
    <xf numFmtId="0" fontId="5" fillId="0" borderId="28" xfId="0" applyFont="1" applyBorder="1"/>
    <xf numFmtId="0" fontId="3" fillId="0" borderId="0" xfId="0" applyFont="1"/>
    <xf numFmtId="49" fontId="5" fillId="0" borderId="10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43" xfId="0" applyFont="1" applyBorder="1"/>
    <xf numFmtId="43" fontId="5" fillId="0" borderId="28" xfId="7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3" fontId="10" fillId="0" borderId="16" xfId="2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left"/>
    </xf>
    <xf numFmtId="43" fontId="10" fillId="0" borderId="56" xfId="2" applyFont="1" applyBorder="1"/>
    <xf numFmtId="0" fontId="22" fillId="0" borderId="30" xfId="0" applyFont="1" applyBorder="1" applyAlignment="1">
      <alignment horizontal="center"/>
    </xf>
    <xf numFmtId="0" fontId="69" fillId="0" borderId="0" xfId="0" applyFont="1"/>
    <xf numFmtId="2" fontId="62" fillId="0" borderId="15" xfId="0" applyNumberFormat="1" applyFont="1" applyBorder="1"/>
    <xf numFmtId="0" fontId="3" fillId="0" borderId="0" xfId="0" applyFont="1" applyBorder="1" applyAlignment="1">
      <alignment horizontal="left"/>
    </xf>
    <xf numFmtId="49" fontId="5" fillId="0" borderId="45" xfId="0" applyNumberFormat="1" applyFont="1" applyBorder="1" applyAlignment="1">
      <alignment horizontal="center"/>
    </xf>
    <xf numFmtId="0" fontId="5" fillId="0" borderId="22" xfId="0" applyFont="1" applyBorder="1"/>
    <xf numFmtId="0" fontId="3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" fontId="3" fillId="0" borderId="57" xfId="0" applyNumberFormat="1" applyFont="1" applyBorder="1"/>
    <xf numFmtId="4" fontId="3" fillId="0" borderId="13" xfId="0" applyNumberFormat="1" applyFont="1" applyBorder="1"/>
    <xf numFmtId="4" fontId="3" fillId="0" borderId="17" xfId="0" applyNumberFormat="1" applyFont="1" applyBorder="1"/>
    <xf numFmtId="0" fontId="5" fillId="0" borderId="37" xfId="0" applyFont="1" applyBorder="1"/>
    <xf numFmtId="0" fontId="13" fillId="0" borderId="0" xfId="3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11" fillId="0" borderId="43" xfId="0" applyFont="1" applyBorder="1"/>
    <xf numFmtId="0" fontId="8" fillId="0" borderId="12" xfId="0" applyFont="1" applyBorder="1"/>
    <xf numFmtId="0" fontId="3" fillId="0" borderId="12" xfId="0" applyFont="1" applyBorder="1"/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0" fillId="0" borderId="0" xfId="0" applyAlignment="1"/>
    <xf numFmtId="0" fontId="8" fillId="0" borderId="0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7" applyFont="1"/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3" fillId="0" borderId="0" xfId="3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8" xfId="0" applyFont="1" applyBorder="1"/>
    <xf numFmtId="0" fontId="3" fillId="0" borderId="58" xfId="0" applyFont="1" applyBorder="1" applyAlignment="1">
      <alignment horizontal="center"/>
    </xf>
    <xf numFmtId="0" fontId="5" fillId="0" borderId="54" xfId="0" applyFont="1" applyBorder="1"/>
    <xf numFmtId="0" fontId="5" fillId="0" borderId="53" xfId="0" applyFont="1" applyBorder="1"/>
    <xf numFmtId="43" fontId="10" fillId="0" borderId="8" xfId="2" applyFont="1" applyBorder="1"/>
    <xf numFmtId="43" fontId="10" fillId="0" borderId="16" xfId="2" applyFont="1" applyBorder="1"/>
    <xf numFmtId="0" fontId="32" fillId="0" borderId="0" xfId="0" applyFont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70" fillId="0" borderId="11" xfId="0" applyFont="1" applyBorder="1"/>
    <xf numFmtId="0" fontId="38" fillId="0" borderId="11" xfId="0" applyFont="1" applyBorder="1"/>
    <xf numFmtId="0" fontId="71" fillId="0" borderId="11" xfId="0" applyFont="1" applyBorder="1"/>
    <xf numFmtId="0" fontId="38" fillId="0" borderId="24" xfId="0" applyFont="1" applyBorder="1"/>
    <xf numFmtId="0" fontId="71" fillId="0" borderId="24" xfId="0" applyFont="1" applyBorder="1"/>
    <xf numFmtId="0" fontId="39" fillId="0" borderId="11" xfId="0" applyFont="1" applyBorder="1"/>
    <xf numFmtId="0" fontId="39" fillId="0" borderId="15" xfId="0" applyFont="1" applyBorder="1"/>
    <xf numFmtId="0" fontId="38" fillId="0" borderId="11" xfId="0" applyFont="1" applyFill="1" applyBorder="1"/>
    <xf numFmtId="0" fontId="38" fillId="0" borderId="31" xfId="0" applyFont="1" applyBorder="1"/>
    <xf numFmtId="0" fontId="38" fillId="0" borderId="15" xfId="0" applyFont="1" applyBorder="1"/>
    <xf numFmtId="0" fontId="73" fillId="0" borderId="11" xfId="0" applyFont="1" applyBorder="1"/>
    <xf numFmtId="0" fontId="38" fillId="0" borderId="31" xfId="0" applyFont="1" applyBorder="1" applyAlignment="1">
      <alignment horizontal="left"/>
    </xf>
    <xf numFmtId="0" fontId="70" fillId="0" borderId="11" xfId="0" applyFont="1" applyBorder="1" applyAlignment="1">
      <alignment horizontal="left"/>
    </xf>
    <xf numFmtId="0" fontId="71" fillId="0" borderId="11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6" fillId="0" borderId="22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4" fontId="46" fillId="0" borderId="59" xfId="0" applyNumberFormat="1" applyFont="1" applyBorder="1"/>
    <xf numFmtId="0" fontId="36" fillId="0" borderId="3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4" fontId="46" fillId="0" borderId="5" xfId="0" applyNumberFormat="1" applyFont="1" applyBorder="1"/>
    <xf numFmtId="43" fontId="46" fillId="0" borderId="5" xfId="2" applyFont="1" applyBorder="1"/>
    <xf numFmtId="43" fontId="28" fillId="0" borderId="14" xfId="2" applyFont="1" applyBorder="1"/>
    <xf numFmtId="43" fontId="33" fillId="0" borderId="9" xfId="7" applyFont="1" applyBorder="1" applyAlignment="1">
      <alignment horizontal="center"/>
    </xf>
    <xf numFmtId="43" fontId="30" fillId="0" borderId="9" xfId="7" applyFont="1" applyBorder="1" applyAlignment="1">
      <alignment horizontal="center"/>
    </xf>
    <xf numFmtId="43" fontId="36" fillId="0" borderId="2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43" xfId="0" applyFont="1" applyBorder="1" applyAlignment="1">
      <alignment horizontal="center"/>
    </xf>
    <xf numFmtId="0" fontId="74" fillId="0" borderId="46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4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4" fillId="0" borderId="43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43" fontId="30" fillId="0" borderId="28" xfId="7" applyFont="1" applyBorder="1" applyAlignment="1">
      <alignment horizontal="center"/>
    </xf>
    <xf numFmtId="43" fontId="30" fillId="0" borderId="9" xfId="7" applyFont="1" applyFill="1" applyBorder="1" applyAlignment="1">
      <alignment horizontal="center"/>
    </xf>
    <xf numFmtId="43" fontId="30" fillId="0" borderId="26" xfId="7" applyFont="1" applyBorder="1" applyAlignment="1">
      <alignment horizontal="center"/>
    </xf>
    <xf numFmtId="43" fontId="30" fillId="0" borderId="4" xfId="7" applyFont="1" applyBorder="1" applyAlignment="1">
      <alignment horizontal="center"/>
    </xf>
    <xf numFmtId="43" fontId="30" fillId="0" borderId="40" xfId="7" applyFont="1" applyBorder="1" applyAlignment="1">
      <alignment horizontal="center"/>
    </xf>
    <xf numFmtId="43" fontId="30" fillId="0" borderId="3" xfId="7" applyFont="1" applyBorder="1" applyAlignment="1">
      <alignment horizontal="center"/>
    </xf>
    <xf numFmtId="0" fontId="72" fillId="0" borderId="11" xfId="0" applyFont="1" applyBorder="1" applyAlignment="1">
      <alignment horizontal="left"/>
    </xf>
    <xf numFmtId="43" fontId="41" fillId="0" borderId="14" xfId="0" applyNumberFormat="1" applyFont="1" applyBorder="1" applyAlignment="1">
      <alignment horizontal="center"/>
    </xf>
    <xf numFmtId="43" fontId="19" fillId="0" borderId="0" xfId="7" applyFont="1"/>
    <xf numFmtId="0" fontId="13" fillId="0" borderId="0" xfId="3" applyFont="1" applyAlignment="1">
      <alignment horizontal="left"/>
    </xf>
    <xf numFmtId="0" fontId="65" fillId="0" borderId="0" xfId="4" applyFont="1" applyBorder="1" applyAlignment="1">
      <alignment horizontal="center"/>
    </xf>
    <xf numFmtId="43" fontId="3" fillId="0" borderId="0" xfId="5" applyFont="1" applyBorder="1"/>
    <xf numFmtId="43" fontId="5" fillId="0" borderId="60" xfId="5" applyFont="1" applyBorder="1"/>
    <xf numFmtId="43" fontId="5" fillId="0" borderId="40" xfId="5" applyFont="1" applyBorder="1" applyAlignment="1">
      <alignment horizontal="center"/>
    </xf>
    <xf numFmtId="0" fontId="9" fillId="0" borderId="26" xfId="4" applyFont="1" applyBorder="1"/>
    <xf numFmtId="0" fontId="3" fillId="0" borderId="0" xfId="3" applyFont="1" applyAlignment="1">
      <alignment horizontal="left"/>
    </xf>
    <xf numFmtId="0" fontId="10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8" fillId="0" borderId="6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3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25" xfId="3" applyFont="1" applyBorder="1"/>
    <xf numFmtId="49" fontId="11" fillId="0" borderId="28" xfId="3" applyNumberFormat="1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3" applyFont="1" applyAlignment="1">
      <alignment horizontal="left"/>
    </xf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8" fillId="0" borderId="6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5" fillId="0" borderId="0" xfId="0" applyFont="1" applyAlignment="1">
      <alignment horizontal="center"/>
    </xf>
    <xf numFmtId="43" fontId="10" fillId="0" borderId="0" xfId="3" applyNumberFormat="1" applyFont="1" applyBorder="1"/>
    <xf numFmtId="49" fontId="11" fillId="0" borderId="0" xfId="3" applyNumberFormat="1" applyFont="1" applyBorder="1" applyAlignment="1">
      <alignment horizontal="center"/>
    </xf>
    <xf numFmtId="43" fontId="10" fillId="0" borderId="20" xfId="3" applyNumberFormat="1" applyFont="1" applyBorder="1"/>
    <xf numFmtId="49" fontId="9" fillId="0" borderId="3" xfId="3" applyNumberFormat="1" applyFont="1" applyBorder="1" applyAlignment="1">
      <alignment horizontal="center"/>
    </xf>
    <xf numFmtId="0" fontId="8" fillId="0" borderId="2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3" xfId="3" applyFont="1" applyBorder="1" applyAlignment="1">
      <alignment horizontal="center"/>
    </xf>
    <xf numFmtId="0" fontId="10" fillId="0" borderId="6" xfId="3" applyFont="1" applyBorder="1"/>
    <xf numFmtId="43" fontId="10" fillId="0" borderId="6" xfId="3" applyNumberFormat="1" applyFont="1" applyBorder="1"/>
    <xf numFmtId="0" fontId="10" fillId="0" borderId="6" xfId="3" applyFont="1" applyBorder="1" applyAlignment="1">
      <alignment horizontal="center"/>
    </xf>
    <xf numFmtId="49" fontId="11" fillId="0" borderId="6" xfId="3" applyNumberFormat="1" applyFont="1" applyBorder="1" applyAlignment="1">
      <alignment horizontal="center"/>
    </xf>
    <xf numFmtId="43" fontId="10" fillId="0" borderId="6" xfId="2" applyFont="1" applyBorder="1"/>
    <xf numFmtId="0" fontId="10" fillId="0" borderId="0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3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0" fontId="3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10" fillId="0" borderId="0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8" fillId="0" borderId="18" xfId="3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3" fillId="0" borderId="0" xfId="3" applyFont="1" applyAlignment="1"/>
    <xf numFmtId="0" fontId="12" fillId="0" borderId="15" xfId="3" applyFont="1" applyBorder="1"/>
    <xf numFmtId="49" fontId="9" fillId="0" borderId="13" xfId="3" applyNumberFormat="1" applyFont="1" applyBorder="1" applyAlignment="1">
      <alignment horizontal="center"/>
    </xf>
    <xf numFmtId="0" fontId="22" fillId="0" borderId="37" xfId="0" applyFont="1" applyBorder="1"/>
    <xf numFmtId="0" fontId="79" fillId="0" borderId="0" xfId="0" applyFont="1" applyBorder="1"/>
    <xf numFmtId="0" fontId="79" fillId="0" borderId="16" xfId="0" applyFont="1" applyBorder="1"/>
    <xf numFmtId="0" fontId="80" fillId="0" borderId="0" xfId="0" applyFont="1" applyAlignment="1">
      <alignment horizontal="center"/>
    </xf>
    <xf numFmtId="0" fontId="79" fillId="0" borderId="0" xfId="0" applyFont="1"/>
    <xf numFmtId="43" fontId="80" fillId="0" borderId="16" xfId="7" applyFont="1" applyBorder="1"/>
    <xf numFmtId="43" fontId="61" fillId="0" borderId="55" xfId="7" applyFont="1" applyBorder="1" applyAlignment="1"/>
    <xf numFmtId="0" fontId="81" fillId="0" borderId="37" xfId="0" applyFont="1" applyBorder="1"/>
    <xf numFmtId="0" fontId="81" fillId="0" borderId="0" xfId="0" applyFont="1" applyBorder="1" applyAlignment="1">
      <alignment horizontal="center"/>
    </xf>
    <xf numFmtId="0" fontId="31" fillId="0" borderId="16" xfId="0" applyFont="1" applyBorder="1"/>
    <xf numFmtId="0" fontId="31" fillId="0" borderId="15" xfId="0" applyFont="1" applyBorder="1"/>
    <xf numFmtId="0" fontId="31" fillId="0" borderId="38" xfId="0" applyFont="1" applyBorder="1"/>
    <xf numFmtId="0" fontId="82" fillId="0" borderId="17" xfId="0" applyFont="1" applyBorder="1"/>
    <xf numFmtId="0" fontId="31" fillId="0" borderId="17" xfId="0" applyFont="1" applyBorder="1"/>
    <xf numFmtId="43" fontId="0" fillId="0" borderId="0" xfId="0" applyNumberFormat="1"/>
    <xf numFmtId="43" fontId="62" fillId="0" borderId="15" xfId="7" applyFont="1" applyBorder="1"/>
    <xf numFmtId="43" fontId="22" fillId="0" borderId="0" xfId="7" applyFont="1" applyBorder="1"/>
    <xf numFmtId="43" fontId="61" fillId="0" borderId="0" xfId="0" applyNumberFormat="1" applyFont="1" applyBorder="1"/>
    <xf numFmtId="43" fontId="21" fillId="0" borderId="15" xfId="7" applyFont="1" applyFill="1" applyBorder="1"/>
    <xf numFmtId="43" fontId="61" fillId="0" borderId="15" xfId="7" applyFont="1" applyBorder="1"/>
    <xf numFmtId="0" fontId="83" fillId="0" borderId="16" xfId="0" applyFont="1" applyBorder="1"/>
    <xf numFmtId="0" fontId="22" fillId="0" borderId="15" xfId="0" applyFont="1" applyBorder="1" applyAlignment="1">
      <alignment horizontal="center"/>
    </xf>
    <xf numFmtId="43" fontId="22" fillId="0" borderId="16" xfId="7" applyFont="1" applyBorder="1" applyAlignment="1">
      <alignment horizontal="center"/>
    </xf>
    <xf numFmtId="15" fontId="22" fillId="0" borderId="15" xfId="0" applyNumberFormat="1" applyFont="1" applyBorder="1" applyAlignment="1">
      <alignment horizontal="center"/>
    </xf>
    <xf numFmtId="0" fontId="85" fillId="0" borderId="37" xfId="1" applyFont="1" applyBorder="1" applyAlignment="1">
      <alignment horizontal="center"/>
    </xf>
    <xf numFmtId="0" fontId="85" fillId="0" borderId="30" xfId="1" applyFont="1" applyBorder="1" applyAlignment="1">
      <alignment horizontal="center"/>
    </xf>
    <xf numFmtId="0" fontId="86" fillId="0" borderId="3" xfId="1" applyFont="1" applyBorder="1" applyAlignment="1"/>
    <xf numFmtId="0" fontId="85" fillId="0" borderId="3" xfId="1" applyFont="1" applyBorder="1" applyAlignment="1">
      <alignment horizontal="center"/>
    </xf>
    <xf numFmtId="0" fontId="88" fillId="0" borderId="42" xfId="1" applyFont="1" applyBorder="1" applyAlignment="1">
      <alignment horizontal="center"/>
    </xf>
    <xf numFmtId="0" fontId="89" fillId="0" borderId="0" xfId="0" applyFont="1"/>
    <xf numFmtId="0" fontId="85" fillId="0" borderId="15" xfId="1" applyFont="1" applyBorder="1" applyAlignment="1">
      <alignment horizontal="center"/>
    </xf>
    <xf numFmtId="0" fontId="85" fillId="0" borderId="0" xfId="1" applyFont="1" applyBorder="1" applyAlignment="1">
      <alignment horizontal="center"/>
    </xf>
    <xf numFmtId="0" fontId="86" fillId="0" borderId="4" xfId="1" applyFont="1" applyBorder="1" applyAlignment="1"/>
    <xf numFmtId="0" fontId="85" fillId="0" borderId="4" xfId="1" applyFont="1" applyBorder="1" applyAlignment="1"/>
    <xf numFmtId="4" fontId="85" fillId="0" borderId="15" xfId="1" applyNumberFormat="1" applyFont="1" applyBorder="1" applyAlignment="1">
      <alignment horizontal="center"/>
    </xf>
    <xf numFmtId="0" fontId="85" fillId="0" borderId="16" xfId="1" applyFont="1" applyBorder="1" applyAlignment="1">
      <alignment horizontal="center"/>
    </xf>
    <xf numFmtId="0" fontId="85" fillId="0" borderId="4" xfId="1" applyFont="1" applyBorder="1" applyAlignment="1">
      <alignment horizontal="center"/>
    </xf>
    <xf numFmtId="0" fontId="85" fillId="0" borderId="0" xfId="1" applyFont="1" applyBorder="1" applyAlignment="1"/>
    <xf numFmtId="0" fontId="88" fillId="0" borderId="16" xfId="1" applyFont="1" applyBorder="1" applyAlignment="1">
      <alignment horizontal="center"/>
    </xf>
    <xf numFmtId="0" fontId="86" fillId="0" borderId="4" xfId="1" applyFont="1" applyBorder="1" applyAlignment="1">
      <alignment horizontal="center"/>
    </xf>
    <xf numFmtId="0" fontId="85" fillId="0" borderId="13" xfId="1" quotePrefix="1" applyFont="1" applyBorder="1" applyAlignment="1">
      <alignment horizontal="center"/>
    </xf>
    <xf numFmtId="0" fontId="85" fillId="0" borderId="38" xfId="1" quotePrefix="1" applyFont="1" applyBorder="1" applyAlignment="1">
      <alignment horizontal="center"/>
    </xf>
    <xf numFmtId="4" fontId="85" fillId="0" borderId="17" xfId="1" quotePrefix="1" applyNumberFormat="1" applyFont="1" applyBorder="1" applyAlignment="1">
      <alignment horizontal="center"/>
    </xf>
    <xf numFmtId="0" fontId="90" fillId="0" borderId="15" xfId="1" applyFont="1" applyBorder="1"/>
    <xf numFmtId="0" fontId="87" fillId="0" borderId="0" xfId="1" applyFont="1" applyBorder="1"/>
    <xf numFmtId="4" fontId="88" fillId="0" borderId="3" xfId="1" applyNumberFormat="1" applyFont="1" applyBorder="1" applyAlignment="1">
      <alignment horizontal="center"/>
    </xf>
    <xf numFmtId="4" fontId="85" fillId="0" borderId="3" xfId="1" applyNumberFormat="1" applyFont="1" applyBorder="1" applyAlignment="1">
      <alignment horizontal="center"/>
    </xf>
    <xf numFmtId="4" fontId="85" fillId="0" borderId="4" xfId="1" applyNumberFormat="1" applyFont="1" applyFill="1" applyBorder="1" applyAlignment="1">
      <alignment horizontal="center"/>
    </xf>
    <xf numFmtId="0" fontId="85" fillId="0" borderId="4" xfId="1" applyFont="1" applyFill="1" applyBorder="1" applyAlignment="1">
      <alignment horizontal="center"/>
    </xf>
    <xf numFmtId="4" fontId="88" fillId="0" borderId="4" xfId="1" applyNumberFormat="1" applyFont="1" applyBorder="1" applyAlignment="1">
      <alignment horizontal="center"/>
    </xf>
    <xf numFmtId="4" fontId="85" fillId="0" borderId="4" xfId="1" applyNumberFormat="1" applyFont="1" applyBorder="1" applyAlignment="1">
      <alignment horizontal="center"/>
    </xf>
    <xf numFmtId="0" fontId="85" fillId="0" borderId="38" xfId="1" applyFont="1" applyBorder="1" applyAlignment="1">
      <alignment horizontal="center"/>
    </xf>
    <xf numFmtId="0" fontId="85" fillId="0" borderId="18" xfId="1" applyFont="1" applyBorder="1" applyAlignment="1">
      <alignment horizontal="center"/>
    </xf>
    <xf numFmtId="0" fontId="86" fillId="0" borderId="13" xfId="1" applyFont="1" applyBorder="1" applyAlignment="1"/>
    <xf numFmtId="4" fontId="88" fillId="0" borderId="13" xfId="1" quotePrefix="1" applyNumberFormat="1" applyFont="1" applyBorder="1" applyAlignment="1">
      <alignment horizontal="center"/>
    </xf>
    <xf numFmtId="4" fontId="85" fillId="0" borderId="13" xfId="1" quotePrefix="1" applyNumberFormat="1" applyFont="1" applyBorder="1" applyAlignment="1">
      <alignment horizontal="center"/>
    </xf>
    <xf numFmtId="0" fontId="85" fillId="0" borderId="13" xfId="1" applyFont="1" applyBorder="1" applyAlignment="1">
      <alignment horizontal="center"/>
    </xf>
    <xf numFmtId="0" fontId="91" fillId="0" borderId="11" xfId="1" applyFont="1" applyBorder="1"/>
    <xf numFmtId="0" fontId="92" fillId="0" borderId="43" xfId="1" applyFont="1" applyBorder="1" applyAlignment="1">
      <alignment horizontal="center"/>
    </xf>
    <xf numFmtId="0" fontId="92" fillId="0" borderId="28" xfId="1" applyFont="1" applyBorder="1" applyAlignment="1">
      <alignment horizontal="center"/>
    </xf>
    <xf numFmtId="43" fontId="25" fillId="0" borderId="44" xfId="8" applyFont="1" applyBorder="1"/>
    <xf numFmtId="4" fontId="25" fillId="0" borderId="44" xfId="8" applyNumberFormat="1" applyFont="1" applyBorder="1"/>
    <xf numFmtId="43" fontId="25" fillId="0" borderId="28" xfId="8" applyFont="1" applyBorder="1"/>
    <xf numFmtId="0" fontId="93" fillId="0" borderId="0" xfId="0" applyFont="1"/>
    <xf numFmtId="0" fontId="94" fillId="0" borderId="11" xfId="1" applyFont="1" applyBorder="1"/>
    <xf numFmtId="0" fontId="74" fillId="0" borderId="10" xfId="1" applyFont="1" applyBorder="1" applyAlignment="1">
      <alignment horizontal="center"/>
    </xf>
    <xf numFmtId="4" fontId="25" fillId="0" borderId="9" xfId="8" applyNumberFormat="1" applyFont="1" applyBorder="1" applyAlignment="1">
      <alignment horizontal="right"/>
    </xf>
    <xf numFmtId="43" fontId="25" fillId="0" borderId="9" xfId="7" applyFont="1" applyBorder="1" applyAlignment="1">
      <alignment horizontal="right"/>
    </xf>
    <xf numFmtId="43" fontId="94" fillId="0" borderId="9" xfId="7" applyFont="1" applyBorder="1" applyAlignment="1">
      <alignment horizontal="right"/>
    </xf>
    <xf numFmtId="43" fontId="26" fillId="0" borderId="9" xfId="7" applyNumberFormat="1" applyFont="1" applyBorder="1" applyAlignment="1">
      <alignment horizontal="right"/>
    </xf>
    <xf numFmtId="0" fontId="95" fillId="0" borderId="45" xfId="1" applyFont="1" applyBorder="1" applyAlignment="1">
      <alignment horizontal="center"/>
    </xf>
    <xf numFmtId="0" fontId="95" fillId="0" borderId="22" xfId="1" applyFont="1" applyBorder="1" applyAlignment="1">
      <alignment horizontal="center"/>
    </xf>
    <xf numFmtId="4" fontId="95" fillId="0" borderId="20" xfId="8" applyNumberFormat="1" applyFont="1" applyBorder="1"/>
    <xf numFmtId="4" fontId="96" fillId="0" borderId="20" xfId="1" applyNumberFormat="1" applyFont="1" applyBorder="1" applyAlignment="1">
      <alignment horizontal="right"/>
    </xf>
    <xf numFmtId="4" fontId="92" fillId="0" borderId="20" xfId="1" applyNumberFormat="1" applyFont="1" applyBorder="1" applyAlignment="1">
      <alignment horizontal="right"/>
    </xf>
    <xf numFmtId="4" fontId="96" fillId="0" borderId="20" xfId="8" applyNumberFormat="1" applyFont="1" applyBorder="1" applyAlignment="1">
      <alignment horizontal="right"/>
    </xf>
    <xf numFmtId="4" fontId="95" fillId="0" borderId="20" xfId="8" applyNumberFormat="1" applyFont="1" applyBorder="1" applyAlignment="1">
      <alignment horizontal="right"/>
    </xf>
    <xf numFmtId="0" fontId="91" fillId="0" borderId="15" xfId="1" applyFont="1" applyBorder="1"/>
    <xf numFmtId="0" fontId="92" fillId="0" borderId="0" xfId="1" applyFont="1" applyBorder="1" applyAlignment="1">
      <alignment horizontal="center"/>
    </xf>
    <xf numFmtId="4" fontId="92" fillId="0" borderId="4" xfId="1" applyNumberFormat="1" applyFont="1" applyBorder="1" applyAlignment="1">
      <alignment horizontal="center"/>
    </xf>
    <xf numFmtId="4" fontId="92" fillId="0" borderId="4" xfId="1" applyNumberFormat="1" applyFont="1" applyBorder="1" applyAlignment="1">
      <alignment horizontal="right"/>
    </xf>
    <xf numFmtId="4" fontId="25" fillId="0" borderId="28" xfId="8" applyNumberFormat="1" applyFont="1" applyBorder="1" applyAlignment="1">
      <alignment horizontal="right"/>
    </xf>
    <xf numFmtId="4" fontId="94" fillId="0" borderId="9" xfId="1" applyNumberFormat="1" applyFont="1" applyBorder="1" applyAlignment="1">
      <alignment horizontal="right"/>
    </xf>
    <xf numFmtId="3" fontId="94" fillId="0" borderId="9" xfId="1" applyNumberFormat="1" applyFont="1" applyBorder="1" applyAlignment="1">
      <alignment horizontal="right"/>
    </xf>
    <xf numFmtId="0" fontId="94" fillId="0" borderId="24" xfId="1" applyFont="1" applyBorder="1"/>
    <xf numFmtId="0" fontId="74" fillId="0" borderId="43" xfId="1" applyFont="1" applyBorder="1" applyAlignment="1">
      <alignment horizontal="center"/>
    </xf>
    <xf numFmtId="4" fontId="94" fillId="0" borderId="28" xfId="1" applyNumberFormat="1" applyFont="1" applyBorder="1" applyAlignment="1">
      <alignment horizontal="right"/>
    </xf>
    <xf numFmtId="3" fontId="94" fillId="0" borderId="28" xfId="1" applyNumberFormat="1" applyFont="1" applyBorder="1" applyAlignment="1">
      <alignment horizontal="right"/>
    </xf>
    <xf numFmtId="4" fontId="95" fillId="0" borderId="20" xfId="1" applyNumberFormat="1" applyFont="1" applyBorder="1" applyAlignment="1">
      <alignment horizontal="right"/>
    </xf>
    <xf numFmtId="4" fontId="25" fillId="0" borderId="20" xfId="8" applyNumberFormat="1" applyFont="1" applyBorder="1" applyAlignment="1">
      <alignment horizontal="right"/>
    </xf>
    <xf numFmtId="0" fontId="92" fillId="0" borderId="10" xfId="1" applyFont="1" applyBorder="1" applyAlignment="1">
      <alignment horizontal="center"/>
    </xf>
    <xf numFmtId="0" fontId="94" fillId="0" borderId="11" xfId="1" applyFont="1" applyFill="1" applyBorder="1"/>
    <xf numFmtId="0" fontId="74" fillId="0" borderId="10" xfId="1" applyFont="1" applyFill="1" applyBorder="1" applyAlignment="1">
      <alignment horizontal="center"/>
    </xf>
    <xf numFmtId="4" fontId="94" fillId="0" borderId="9" xfId="1" applyNumberFormat="1" applyFont="1" applyFill="1" applyBorder="1" applyAlignment="1">
      <alignment horizontal="right"/>
    </xf>
    <xf numFmtId="3" fontId="25" fillId="0" borderId="9" xfId="8" applyNumberFormat="1" applyFont="1" applyBorder="1" applyAlignment="1">
      <alignment horizontal="right"/>
    </xf>
    <xf numFmtId="0" fontId="94" fillId="0" borderId="31" xfId="1" applyFont="1" applyBorder="1"/>
    <xf numFmtId="3" fontId="25" fillId="0" borderId="28" xfId="8" applyNumberFormat="1" applyFont="1" applyBorder="1" applyAlignment="1">
      <alignment horizontal="right"/>
    </xf>
    <xf numFmtId="0" fontId="74" fillId="0" borderId="46" xfId="1" applyFont="1" applyBorder="1" applyAlignment="1">
      <alignment horizontal="center"/>
    </xf>
    <xf numFmtId="4" fontId="94" fillId="0" borderId="26" xfId="1" applyNumberFormat="1" applyFont="1" applyBorder="1" applyAlignment="1">
      <alignment horizontal="right"/>
    </xf>
    <xf numFmtId="4" fontId="25" fillId="0" borderId="26" xfId="8" applyNumberFormat="1" applyFont="1" applyBorder="1" applyAlignment="1">
      <alignment horizontal="right"/>
    </xf>
    <xf numFmtId="3" fontId="25" fillId="0" borderId="26" xfId="8" applyNumberFormat="1" applyFont="1" applyBorder="1" applyAlignment="1">
      <alignment horizontal="right"/>
    </xf>
    <xf numFmtId="4" fontId="25" fillId="0" borderId="4" xfId="8" applyNumberFormat="1" applyFont="1" applyBorder="1" applyAlignment="1">
      <alignment horizontal="right"/>
    </xf>
    <xf numFmtId="3" fontId="96" fillId="0" borderId="20" xfId="8" applyNumberFormat="1" applyFont="1" applyBorder="1" applyAlignment="1">
      <alignment horizontal="right"/>
    </xf>
    <xf numFmtId="0" fontId="97" fillId="0" borderId="0" xfId="1" applyFont="1" applyBorder="1" applyAlignment="1">
      <alignment horizontal="center"/>
    </xf>
    <xf numFmtId="4" fontId="94" fillId="0" borderId="4" xfId="1" applyNumberFormat="1" applyFont="1" applyBorder="1" applyAlignment="1">
      <alignment horizontal="right"/>
    </xf>
    <xf numFmtId="0" fontId="94" fillId="0" borderId="15" xfId="1" applyFont="1" applyBorder="1"/>
    <xf numFmtId="4" fontId="94" fillId="0" borderId="40" xfId="1" applyNumberFormat="1" applyFont="1" applyBorder="1" applyAlignment="1">
      <alignment horizontal="right"/>
    </xf>
    <xf numFmtId="3" fontId="95" fillId="0" borderId="20" xfId="8" applyNumberFormat="1" applyFont="1" applyBorder="1" applyAlignment="1">
      <alignment horizontal="right"/>
    </xf>
    <xf numFmtId="0" fontId="91" fillId="0" borderId="24" xfId="1" applyFont="1" applyBorder="1"/>
    <xf numFmtId="4" fontId="25" fillId="0" borderId="28" xfId="8" applyNumberFormat="1" applyFont="1" applyBorder="1"/>
    <xf numFmtId="0" fontId="92" fillId="0" borderId="11" xfId="1" applyFont="1" applyBorder="1"/>
    <xf numFmtId="0" fontId="94" fillId="0" borderId="51" xfId="1" applyFont="1" applyBorder="1"/>
    <xf numFmtId="0" fontId="92" fillId="0" borderId="50" xfId="1" applyFont="1" applyBorder="1" applyAlignment="1">
      <alignment horizontal="center"/>
    </xf>
    <xf numFmtId="4" fontId="94" fillId="0" borderId="40" xfId="1" applyNumberFormat="1" applyFont="1" applyFill="1" applyBorder="1" applyAlignment="1">
      <alignment horizontal="right"/>
    </xf>
    <xf numFmtId="4" fontId="25" fillId="0" borderId="40" xfId="8" applyNumberFormat="1" applyFont="1" applyBorder="1" applyAlignment="1">
      <alignment horizontal="right"/>
    </xf>
    <xf numFmtId="0" fontId="94" fillId="0" borderId="0" xfId="1" applyFont="1" applyBorder="1"/>
    <xf numFmtId="4" fontId="94" fillId="0" borderId="0" xfId="1" applyNumberFormat="1" applyFont="1" applyBorder="1" applyAlignment="1">
      <alignment horizontal="right"/>
    </xf>
    <xf numFmtId="4" fontId="94" fillId="0" borderId="0" xfId="1" applyNumberFormat="1" applyFont="1" applyFill="1" applyBorder="1" applyAlignment="1">
      <alignment horizontal="right"/>
    </xf>
    <xf numFmtId="4" fontId="25" fillId="0" borderId="0" xfId="8" applyNumberFormat="1" applyFont="1" applyBorder="1" applyAlignment="1">
      <alignment horizontal="right"/>
    </xf>
    <xf numFmtId="0" fontId="92" fillId="0" borderId="15" xfId="1" applyFont="1" applyBorder="1"/>
    <xf numFmtId="0" fontId="74" fillId="0" borderId="0" xfId="1" applyFont="1" applyBorder="1" applyAlignment="1">
      <alignment horizontal="center"/>
    </xf>
    <xf numFmtId="4" fontId="94" fillId="0" borderId="28" xfId="1" applyNumberFormat="1" applyFont="1" applyFill="1" applyBorder="1" applyAlignment="1">
      <alignment horizontal="right"/>
    </xf>
    <xf numFmtId="0" fontId="94" fillId="0" borderId="51" xfId="1" applyFont="1" applyFill="1" applyBorder="1"/>
    <xf numFmtId="0" fontId="92" fillId="0" borderId="50" xfId="1" applyFont="1" applyFill="1" applyBorder="1" applyAlignment="1">
      <alignment horizontal="center"/>
    </xf>
    <xf numFmtId="0" fontId="94" fillId="0" borderId="0" xfId="1" applyFont="1" applyFill="1" applyBorder="1"/>
    <xf numFmtId="0" fontId="92" fillId="0" borderId="0" xfId="1" applyFont="1" applyFill="1" applyBorder="1" applyAlignment="1">
      <alignment horizontal="center"/>
    </xf>
    <xf numFmtId="0" fontId="94" fillId="0" borderId="61" xfId="1" applyFont="1" applyFill="1" applyBorder="1"/>
    <xf numFmtId="0" fontId="92" fillId="0" borderId="62" xfId="1" applyFont="1" applyFill="1" applyBorder="1" applyAlignment="1">
      <alignment horizontal="center"/>
    </xf>
    <xf numFmtId="189" fontId="94" fillId="0" borderId="4" xfId="7" applyNumberFormat="1" applyFont="1" applyBorder="1" applyAlignment="1">
      <alignment horizontal="center" vertical="center"/>
    </xf>
    <xf numFmtId="0" fontId="95" fillId="0" borderId="4" xfId="1" quotePrefix="1" applyFont="1" applyBorder="1" applyAlignment="1">
      <alignment horizontal="center"/>
    </xf>
    <xf numFmtId="0" fontId="95" fillId="0" borderId="44" xfId="1" quotePrefix="1" applyFont="1" applyBorder="1" applyAlignment="1">
      <alignment horizontal="center"/>
    </xf>
    <xf numFmtId="0" fontId="95" fillId="0" borderId="25" xfId="1" quotePrefix="1" applyFont="1" applyBorder="1" applyAlignment="1">
      <alignment horizontal="center"/>
    </xf>
    <xf numFmtId="0" fontId="95" fillId="0" borderId="28" xfId="1" quotePrefix="1" applyFont="1" applyBorder="1" applyAlignment="1">
      <alignment horizontal="center"/>
    </xf>
    <xf numFmtId="189" fontId="98" fillId="0" borderId="4" xfId="7" quotePrefix="1" applyNumberFormat="1" applyFont="1" applyBorder="1" applyAlignment="1">
      <alignment horizontal="center"/>
    </xf>
    <xf numFmtId="0" fontId="95" fillId="0" borderId="44" xfId="1" applyFont="1" applyBorder="1" applyAlignment="1">
      <alignment horizontal="center"/>
    </xf>
    <xf numFmtId="4" fontId="95" fillId="0" borderId="44" xfId="1" quotePrefix="1" applyNumberFormat="1" applyFont="1" applyBorder="1" applyAlignment="1">
      <alignment horizontal="center"/>
    </xf>
    <xf numFmtId="0" fontId="95" fillId="0" borderId="4" xfId="1" applyFont="1" applyBorder="1" applyAlignment="1">
      <alignment horizontal="center"/>
    </xf>
    <xf numFmtId="4" fontId="95" fillId="0" borderId="4" xfId="1" quotePrefix="1" applyNumberFormat="1" applyFont="1" applyBorder="1" applyAlignment="1">
      <alignment horizontal="center"/>
    </xf>
    <xf numFmtId="0" fontId="92" fillId="0" borderId="43" xfId="1" applyFont="1" applyFill="1" applyBorder="1" applyAlignment="1">
      <alignment horizontal="center"/>
    </xf>
    <xf numFmtId="0" fontId="92" fillId="0" borderId="51" xfId="1" applyFont="1" applyBorder="1"/>
    <xf numFmtId="0" fontId="74" fillId="0" borderId="50" xfId="1" applyFont="1" applyBorder="1" applyAlignment="1">
      <alignment horizontal="center"/>
    </xf>
    <xf numFmtId="0" fontId="92" fillId="0" borderId="4" xfId="1" applyFont="1" applyBorder="1" applyAlignment="1">
      <alignment horizontal="center"/>
    </xf>
    <xf numFmtId="0" fontId="94" fillId="0" borderId="31" xfId="1" applyFont="1" applyBorder="1" applyAlignment="1">
      <alignment horizontal="left"/>
    </xf>
    <xf numFmtId="0" fontId="94" fillId="0" borderId="11" xfId="1" applyFont="1" applyBorder="1" applyAlignment="1">
      <alignment horizontal="left"/>
    </xf>
    <xf numFmtId="0" fontId="94" fillId="0" borderId="15" xfId="1" applyFont="1" applyBorder="1" applyAlignment="1">
      <alignment horizontal="left"/>
    </xf>
    <xf numFmtId="0" fontId="92" fillId="0" borderId="15" xfId="1" applyFont="1" applyBorder="1" applyAlignment="1">
      <alignment horizontal="left"/>
    </xf>
    <xf numFmtId="0" fontId="95" fillId="0" borderId="0" xfId="1" applyFont="1" applyBorder="1" applyAlignment="1">
      <alignment horizontal="center"/>
    </xf>
    <xf numFmtId="4" fontId="25" fillId="0" borderId="4" xfId="1" applyNumberFormat="1" applyFont="1" applyBorder="1" applyAlignment="1">
      <alignment horizontal="right"/>
    </xf>
    <xf numFmtId="4" fontId="25" fillId="0" borderId="4" xfId="1" quotePrefix="1" applyNumberFormat="1" applyFont="1" applyBorder="1" applyAlignment="1">
      <alignment horizontal="right"/>
    </xf>
    <xf numFmtId="0" fontId="92" fillId="0" borderId="11" xfId="1" applyFont="1" applyBorder="1" applyAlignment="1">
      <alignment horizontal="left"/>
    </xf>
    <xf numFmtId="0" fontId="95" fillId="0" borderId="10" xfId="1" applyFont="1" applyBorder="1" applyAlignment="1">
      <alignment horizontal="center"/>
    </xf>
    <xf numFmtId="4" fontId="25" fillId="0" borderId="9" xfId="1" applyNumberFormat="1" applyFont="1" applyBorder="1" applyAlignment="1">
      <alignment horizontal="right"/>
    </xf>
    <xf numFmtId="4" fontId="25" fillId="0" borderId="9" xfId="1" quotePrefix="1" applyNumberFormat="1" applyFont="1" applyBorder="1" applyAlignment="1">
      <alignment horizontal="right"/>
    </xf>
    <xf numFmtId="0" fontId="77" fillId="0" borderId="10" xfId="1" applyFont="1" applyBorder="1" applyAlignment="1">
      <alignment horizontal="center"/>
    </xf>
    <xf numFmtId="4" fontId="25" fillId="0" borderId="26" xfId="1" applyNumberFormat="1" applyFont="1" applyBorder="1" applyAlignment="1">
      <alignment horizontal="right"/>
    </xf>
    <xf numFmtId="0" fontId="77" fillId="0" borderId="0" xfId="1" applyFont="1" applyBorder="1" applyAlignment="1">
      <alignment horizontal="center"/>
    </xf>
    <xf numFmtId="4" fontId="25" fillId="0" borderId="40" xfId="1" applyNumberFormat="1" applyFont="1" applyBorder="1" applyAlignment="1">
      <alignment horizontal="right"/>
    </xf>
    <xf numFmtId="3" fontId="25" fillId="0" borderId="4" xfId="8" applyNumberFormat="1" applyFont="1" applyBorder="1" applyAlignment="1">
      <alignment horizontal="right"/>
    </xf>
    <xf numFmtId="3" fontId="96" fillId="0" borderId="20" xfId="1" applyNumberFormat="1" applyFont="1" applyBorder="1" applyAlignment="1">
      <alignment horizontal="right"/>
    </xf>
    <xf numFmtId="0" fontId="99" fillId="0" borderId="4" xfId="1" applyFont="1" applyBorder="1" applyAlignment="1">
      <alignment horizontal="center" vertical="center"/>
    </xf>
    <xf numFmtId="0" fontId="99" fillId="0" borderId="4" xfId="1" applyFont="1" applyBorder="1" applyAlignment="1"/>
    <xf numFmtId="4" fontId="25" fillId="0" borderId="4" xfId="1" quotePrefix="1" applyNumberFormat="1" applyFont="1" applyBorder="1" applyAlignment="1">
      <alignment horizontal="center"/>
    </xf>
    <xf numFmtId="0" fontId="91" fillId="0" borderId="24" xfId="1" applyFont="1" applyBorder="1" applyAlignment="1">
      <alignment horizontal="left"/>
    </xf>
    <xf numFmtId="0" fontId="92" fillId="0" borderId="24" xfId="1" applyFont="1" applyBorder="1" applyAlignment="1">
      <alignment horizontal="left"/>
    </xf>
    <xf numFmtId="0" fontId="94" fillId="0" borderId="24" xfId="1" applyFont="1" applyBorder="1" applyAlignment="1">
      <alignment horizontal="left"/>
    </xf>
    <xf numFmtId="0" fontId="94" fillId="0" borderId="63" xfId="1" applyFont="1" applyBorder="1" applyAlignment="1">
      <alignment horizontal="left"/>
    </xf>
    <xf numFmtId="0" fontId="94" fillId="0" borderId="51" xfId="1" applyFont="1" applyBorder="1" applyAlignment="1">
      <alignment horizontal="left"/>
    </xf>
    <xf numFmtId="0" fontId="94" fillId="0" borderId="0" xfId="1" applyFont="1" applyBorder="1" applyAlignment="1">
      <alignment horizontal="left"/>
    </xf>
    <xf numFmtId="0" fontId="4" fillId="0" borderId="11" xfId="1" applyFont="1" applyBorder="1"/>
    <xf numFmtId="0" fontId="95" fillId="0" borderId="15" xfId="1" applyFont="1" applyBorder="1" applyAlignment="1">
      <alignment horizontal="center"/>
    </xf>
    <xf numFmtId="0" fontId="95" fillId="0" borderId="11" xfId="1" applyFont="1" applyBorder="1" applyAlignment="1">
      <alignment horizontal="left"/>
    </xf>
    <xf numFmtId="0" fontId="99" fillId="0" borderId="9" xfId="1" applyFont="1" applyBorder="1" applyAlignment="1">
      <alignment horizontal="center" vertical="center"/>
    </xf>
    <xf numFmtId="0" fontId="99" fillId="0" borderId="9" xfId="1" applyFont="1" applyBorder="1" applyAlignment="1"/>
    <xf numFmtId="0" fontId="95" fillId="0" borderId="9" xfId="1" quotePrefix="1" applyFont="1" applyBorder="1" applyAlignment="1">
      <alignment horizontal="center"/>
    </xf>
    <xf numFmtId="4" fontId="25" fillId="0" borderId="9" xfId="1" quotePrefix="1" applyNumberFormat="1" applyFont="1" applyBorder="1" applyAlignment="1">
      <alignment horizontal="center"/>
    </xf>
    <xf numFmtId="4" fontId="95" fillId="0" borderId="9" xfId="1" quotePrefix="1" applyNumberFormat="1" applyFont="1" applyBorder="1" applyAlignment="1">
      <alignment horizontal="center"/>
    </xf>
    <xf numFmtId="0" fontId="95" fillId="0" borderId="9" xfId="1" applyFont="1" applyBorder="1" applyAlignment="1">
      <alignment horizontal="center"/>
    </xf>
    <xf numFmtId="0" fontId="25" fillId="0" borderId="11" xfId="1" applyFont="1" applyBorder="1" applyAlignment="1">
      <alignment horizontal="left"/>
    </xf>
    <xf numFmtId="0" fontId="94" fillId="0" borderId="45" xfId="1" applyFont="1" applyBorder="1" applyAlignment="1">
      <alignment horizontal="center"/>
    </xf>
    <xf numFmtId="0" fontId="71" fillId="0" borderId="0" xfId="1" applyFont="1" applyBorder="1" applyAlignment="1">
      <alignment horizontal="center"/>
    </xf>
    <xf numFmtId="0" fontId="36" fillId="0" borderId="0" xfId="1" applyFont="1" applyBorder="1" applyAlignment="1">
      <alignment horizontal="center"/>
    </xf>
    <xf numFmtId="4" fontId="36" fillId="0" borderId="0" xfId="1" applyNumberFormat="1" applyFont="1" applyBorder="1" applyAlignment="1">
      <alignment horizontal="right"/>
    </xf>
    <xf numFmtId="0" fontId="95" fillId="0" borderId="15" xfId="1" applyFont="1" applyBorder="1" applyAlignment="1">
      <alignment horizontal="left"/>
    </xf>
    <xf numFmtId="0" fontId="92" fillId="0" borderId="9" xfId="1" applyFont="1" applyBorder="1" applyAlignment="1">
      <alignment horizontal="center"/>
    </xf>
    <xf numFmtId="43" fontId="25" fillId="0" borderId="9" xfId="8" applyFont="1" applyBorder="1" applyAlignment="1">
      <alignment horizontal="left"/>
    </xf>
    <xf numFmtId="43" fontId="25" fillId="0" borderId="9" xfId="8" applyFont="1" applyBorder="1" applyAlignment="1">
      <alignment horizontal="justify"/>
    </xf>
    <xf numFmtId="4" fontId="25" fillId="0" borderId="9" xfId="8" applyNumberFormat="1" applyFont="1" applyBorder="1" applyAlignment="1">
      <alignment horizontal="justify"/>
    </xf>
    <xf numFmtId="0" fontId="92" fillId="0" borderId="46" xfId="1" applyFont="1" applyBorder="1" applyAlignment="1">
      <alignment horizontal="center"/>
    </xf>
    <xf numFmtId="0" fontId="94" fillId="0" borderId="38" xfId="1" applyFont="1" applyBorder="1" applyAlignment="1">
      <alignment horizontal="left"/>
    </xf>
    <xf numFmtId="0" fontId="92" fillId="0" borderId="18" xfId="1" applyFont="1" applyBorder="1" applyAlignment="1">
      <alignment horizontal="center"/>
    </xf>
    <xf numFmtId="4" fontId="94" fillId="0" borderId="13" xfId="1" applyNumberFormat="1" applyFont="1" applyBorder="1" applyAlignment="1">
      <alignment horizontal="right"/>
    </xf>
    <xf numFmtId="4" fontId="94" fillId="0" borderId="4" xfId="1" applyNumberFormat="1" applyFont="1" applyFill="1" applyBorder="1" applyAlignment="1">
      <alignment horizontal="right"/>
    </xf>
    <xf numFmtId="4" fontId="25" fillId="0" borderId="13" xfId="8" applyNumberFormat="1" applyFont="1" applyBorder="1" applyAlignment="1">
      <alignment horizontal="right"/>
    </xf>
    <xf numFmtId="0" fontId="25" fillId="0" borderId="45" xfId="1" applyFont="1" applyBorder="1" applyAlignment="1">
      <alignment horizontal="center"/>
    </xf>
    <xf numFmtId="0" fontId="25" fillId="0" borderId="22" xfId="1" applyFont="1" applyBorder="1" applyAlignment="1">
      <alignment horizontal="center"/>
    </xf>
    <xf numFmtId="4" fontId="94" fillId="0" borderId="14" xfId="1" applyNumberFormat="1" applyFont="1" applyBorder="1" applyAlignment="1">
      <alignment horizontal="right"/>
    </xf>
    <xf numFmtId="4" fontId="95" fillId="0" borderId="47" xfId="1" applyNumberFormat="1" applyFont="1" applyBorder="1" applyAlignment="1">
      <alignment horizontal="center"/>
    </xf>
    <xf numFmtId="4" fontId="95" fillId="0" borderId="59" xfId="1" applyNumberFormat="1" applyFont="1" applyBorder="1"/>
    <xf numFmtId="4" fontId="96" fillId="0" borderId="49" xfId="1" applyNumberFormat="1" applyFont="1" applyBorder="1" applyAlignment="1">
      <alignment horizontal="right"/>
    </xf>
    <xf numFmtId="4" fontId="92" fillId="0" borderId="5" xfId="1" applyNumberFormat="1" applyFont="1" applyBorder="1" applyAlignment="1">
      <alignment horizontal="right"/>
    </xf>
    <xf numFmtId="0" fontId="2" fillId="0" borderId="0" xfId="0" applyFont="1" applyAlignment="1"/>
    <xf numFmtId="0" fontId="10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5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36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15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0" fillId="0" borderId="0" xfId="0" applyAlignment="1"/>
    <xf numFmtId="0" fontId="3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8" fillId="0" borderId="33" xfId="3" applyFont="1" applyBorder="1" applyAlignment="1">
      <alignment horizontal="center"/>
    </xf>
    <xf numFmtId="0" fontId="8" fillId="0" borderId="34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8" fillId="0" borderId="35" xfId="3" applyFont="1" applyBorder="1" applyAlignment="1">
      <alignment horizontal="center"/>
    </xf>
    <xf numFmtId="0" fontId="8" fillId="0" borderId="38" xfId="3" applyFont="1" applyBorder="1" applyAlignment="1">
      <alignment horizontal="center"/>
    </xf>
    <xf numFmtId="0" fontId="8" fillId="0" borderId="18" xfId="3" applyFont="1" applyBorder="1" applyAlignment="1">
      <alignment horizontal="center"/>
    </xf>
    <xf numFmtId="0" fontId="8" fillId="0" borderId="45" xfId="3" applyFont="1" applyBorder="1" applyAlignment="1">
      <alignment horizontal="center"/>
    </xf>
    <xf numFmtId="0" fontId="8" fillId="0" borderId="22" xfId="3" applyFont="1" applyBorder="1" applyAlignment="1">
      <alignment horizontal="center"/>
    </xf>
    <xf numFmtId="0" fontId="8" fillId="0" borderId="37" xfId="3" applyFont="1" applyBorder="1" applyAlignment="1">
      <alignment horizontal="center"/>
    </xf>
    <xf numFmtId="0" fontId="8" fillId="0" borderId="30" xfId="3" applyFont="1" applyBorder="1" applyAlignment="1">
      <alignment horizontal="center"/>
    </xf>
    <xf numFmtId="0" fontId="3" fillId="0" borderId="0" xfId="4" applyFont="1" applyAlignment="1">
      <alignment horizontal="center"/>
    </xf>
    <xf numFmtId="0" fontId="18" fillId="2" borderId="18" xfId="4" applyFont="1" applyFill="1" applyBorder="1" applyAlignment="1">
      <alignment horizontal="center"/>
    </xf>
    <xf numFmtId="0" fontId="17" fillId="0" borderId="37" xfId="4" applyFont="1" applyBorder="1" applyAlignment="1">
      <alignment horizontal="center" vertical="center"/>
    </xf>
    <xf numFmtId="0" fontId="17" fillId="0" borderId="38" xfId="4" applyFont="1" applyBorder="1" applyAlignment="1">
      <alignment horizontal="center" vertical="center"/>
    </xf>
    <xf numFmtId="49" fontId="17" fillId="0" borderId="3" xfId="4" applyNumberFormat="1" applyFont="1" applyBorder="1" applyAlignment="1">
      <alignment horizontal="center" vertical="center"/>
    </xf>
    <xf numFmtId="49" fontId="17" fillId="0" borderId="13" xfId="4" applyNumberFormat="1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/>
    </xf>
    <xf numFmtId="0" fontId="17" fillId="0" borderId="13" xfId="4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5" xfId="0" applyFont="1" applyBorder="1" applyAlignment="1"/>
    <xf numFmtId="0" fontId="3" fillId="0" borderId="22" xfId="0" applyFont="1" applyBorder="1" applyAlignment="1"/>
    <xf numFmtId="0" fontId="3" fillId="0" borderId="19" xfId="0" applyFont="1" applyBorder="1" applyAlignment="1"/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45" xfId="0" applyFont="1" applyBorder="1" applyAlignment="1"/>
    <xf numFmtId="0" fontId="5" fillId="0" borderId="22" xfId="0" applyFont="1" applyBorder="1" applyAlignment="1"/>
    <xf numFmtId="0" fontId="5" fillId="0" borderId="19" xfId="0" applyFont="1" applyBorder="1" applyAlignment="1"/>
    <xf numFmtId="0" fontId="5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5" fillId="0" borderId="38" xfId="1" quotePrefix="1" applyFont="1" applyBorder="1" applyAlignment="1">
      <alignment horizontal="center"/>
    </xf>
    <xf numFmtId="0" fontId="90" fillId="0" borderId="17" xfId="1" applyFont="1" applyBorder="1" applyAlignment="1">
      <alignment horizontal="center"/>
    </xf>
    <xf numFmtId="0" fontId="85" fillId="0" borderId="0" xfId="1" quotePrefix="1" applyFont="1" applyBorder="1" applyAlignment="1">
      <alignment horizontal="center"/>
    </xf>
    <xf numFmtId="0" fontId="85" fillId="0" borderId="16" xfId="1" quotePrefix="1" applyFont="1" applyBorder="1" applyAlignment="1">
      <alignment horizontal="center"/>
    </xf>
    <xf numFmtId="0" fontId="85" fillId="0" borderId="38" xfId="1" applyFont="1" applyBorder="1" applyAlignment="1">
      <alignment horizontal="center"/>
    </xf>
    <xf numFmtId="0" fontId="85" fillId="0" borderId="17" xfId="1" applyFont="1" applyBorder="1" applyAlignment="1">
      <alignment horizontal="center"/>
    </xf>
    <xf numFmtId="4" fontId="85" fillId="0" borderId="38" xfId="1" quotePrefix="1" applyNumberFormat="1" applyFont="1" applyBorder="1" applyAlignment="1">
      <alignment horizontal="center"/>
    </xf>
    <xf numFmtId="0" fontId="85" fillId="0" borderId="18" xfId="1" quotePrefix="1" applyFont="1" applyBorder="1" applyAlignment="1">
      <alignment horizontal="center"/>
    </xf>
    <xf numFmtId="0" fontId="85" fillId="0" borderId="17" xfId="1" quotePrefix="1" applyFont="1" applyBorder="1" applyAlignment="1">
      <alignment horizontal="center"/>
    </xf>
    <xf numFmtId="4" fontId="85" fillId="0" borderId="37" xfId="1" applyNumberFormat="1" applyFont="1" applyBorder="1" applyAlignment="1">
      <alignment horizontal="center"/>
    </xf>
    <xf numFmtId="0" fontId="87" fillId="0" borderId="42" xfId="1" applyFont="1" applyBorder="1" applyAlignment="1">
      <alignment horizontal="center"/>
    </xf>
    <xf numFmtId="0" fontId="85" fillId="0" borderId="37" xfId="1" applyFont="1" applyBorder="1" applyAlignment="1">
      <alignment horizontal="center"/>
    </xf>
    <xf numFmtId="0" fontId="85" fillId="0" borderId="30" xfId="1" applyFont="1" applyBorder="1" applyAlignment="1">
      <alignment horizontal="center"/>
    </xf>
    <xf numFmtId="0" fontId="85" fillId="0" borderId="42" xfId="1" applyFont="1" applyBorder="1" applyAlignment="1">
      <alignment horizontal="center"/>
    </xf>
    <xf numFmtId="4" fontId="85" fillId="0" borderId="15" xfId="1" applyNumberFormat="1" applyFont="1" applyBorder="1" applyAlignment="1">
      <alignment horizontal="center"/>
    </xf>
    <xf numFmtId="4" fontId="85" fillId="0" borderId="16" xfId="1" applyNumberFormat="1" applyFont="1" applyBorder="1" applyAlignment="1">
      <alignment horizontal="center"/>
    </xf>
    <xf numFmtId="0" fontId="85" fillId="0" borderId="15" xfId="1" applyFont="1" applyBorder="1" applyAlignment="1">
      <alignment horizontal="center"/>
    </xf>
    <xf numFmtId="0" fontId="85" fillId="0" borderId="16" xfId="1" applyFont="1" applyBorder="1" applyAlignment="1">
      <alignment horizontal="center"/>
    </xf>
    <xf numFmtId="0" fontId="87" fillId="0" borderId="16" xfId="1" applyFont="1" applyBorder="1" applyAlignment="1">
      <alignment horizontal="center"/>
    </xf>
    <xf numFmtId="0" fontId="85" fillId="0" borderId="0" xfId="1" applyFont="1" applyBorder="1" applyAlignment="1">
      <alignment horizontal="center"/>
    </xf>
    <xf numFmtId="0" fontId="84" fillId="0" borderId="0" xfId="1" applyFont="1" applyAlignment="1">
      <alignment horizontal="center"/>
    </xf>
    <xf numFmtId="0" fontId="86" fillId="0" borderId="3" xfId="1" applyFont="1" applyBorder="1" applyAlignment="1">
      <alignment horizontal="center" vertical="center"/>
    </xf>
    <xf numFmtId="0" fontId="86" fillId="0" borderId="4" xfId="1" applyFont="1" applyBorder="1" applyAlignment="1">
      <alignment horizontal="center" vertical="center"/>
    </xf>
    <xf numFmtId="0" fontId="86" fillId="0" borderId="13" xfId="1" applyFont="1" applyBorder="1" applyAlignment="1">
      <alignment horizontal="center" vertical="center"/>
    </xf>
    <xf numFmtId="4" fontId="85" fillId="0" borderId="42" xfId="1" applyNumberFormat="1" applyFont="1" applyBorder="1" applyAlignment="1">
      <alignment horizontal="center"/>
    </xf>
    <xf numFmtId="0" fontId="88" fillId="0" borderId="37" xfId="1" applyFont="1" applyBorder="1" applyAlignment="1">
      <alignment horizontal="center"/>
    </xf>
    <xf numFmtId="0" fontId="88" fillId="0" borderId="42" xfId="1" applyFont="1" applyBorder="1" applyAlignment="1">
      <alignment horizontal="center"/>
    </xf>
    <xf numFmtId="0" fontId="22" fillId="0" borderId="15" xfId="0" applyFont="1" applyBorder="1" applyAlignment="1"/>
    <xf numFmtId="0" fontId="22" fillId="0" borderId="0" xfId="0" applyFont="1" applyBorder="1" applyAlignment="1"/>
    <xf numFmtId="0" fontId="22" fillId="0" borderId="16" xfId="0" applyFont="1" applyBorder="1" applyAlignment="1"/>
    <xf numFmtId="0" fontId="31" fillId="0" borderId="15" xfId="0" applyFont="1" applyBorder="1" applyAlignment="1"/>
    <xf numFmtId="0" fontId="31" fillId="0" borderId="0" xfId="0" applyFont="1" applyBorder="1" applyAlignment="1"/>
    <xf numFmtId="0" fontId="31" fillId="0" borderId="16" xfId="0" applyFont="1" applyBorder="1" applyAlignment="1"/>
    <xf numFmtId="0" fontId="43" fillId="0" borderId="0" xfId="0" quotePrefix="1" applyFont="1" applyBorder="1" applyAlignment="1">
      <alignment horizontal="center"/>
    </xf>
    <xf numFmtId="0" fontId="43" fillId="0" borderId="16" xfId="0" quotePrefix="1" applyFont="1" applyBorder="1" applyAlignment="1">
      <alignment horizontal="center"/>
    </xf>
    <xf numFmtId="4" fontId="43" fillId="0" borderId="15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4" fontId="43" fillId="0" borderId="37" xfId="0" applyNumberFormat="1" applyFont="1" applyBorder="1" applyAlignment="1">
      <alignment horizontal="center"/>
    </xf>
    <xf numFmtId="4" fontId="43" fillId="0" borderId="42" xfId="0" applyNumberFormat="1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24" fillId="0" borderId="0" xfId="0" quotePrefix="1" applyFont="1" applyBorder="1" applyAlignment="1">
      <alignment horizontal="center"/>
    </xf>
    <xf numFmtId="0" fontId="24" fillId="0" borderId="16" xfId="0" quotePrefix="1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3" fillId="0" borderId="38" xfId="0" quotePrefix="1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4" fontId="24" fillId="0" borderId="37" xfId="0" applyNumberFormat="1" applyFont="1" applyBorder="1" applyAlignment="1">
      <alignment horizontal="center"/>
    </xf>
    <xf numFmtId="4" fontId="24" fillId="0" borderId="4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4" fontId="43" fillId="0" borderId="38" xfId="0" quotePrefix="1" applyNumberFormat="1" applyFont="1" applyBorder="1" applyAlignment="1">
      <alignment horizontal="center"/>
    </xf>
    <xf numFmtId="0" fontId="43" fillId="0" borderId="18" xfId="0" quotePrefix="1" applyFont="1" applyBorder="1" applyAlignment="1">
      <alignment horizontal="center"/>
    </xf>
    <xf numFmtId="0" fontId="43" fillId="0" borderId="17" xfId="0" quotePrefix="1" applyFont="1" applyBorder="1" applyAlignment="1">
      <alignment horizontal="center"/>
    </xf>
    <xf numFmtId="0" fontId="24" fillId="0" borderId="38" xfId="0" quotePrefix="1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" fontId="24" fillId="0" borderId="38" xfId="0" quotePrefix="1" applyNumberFormat="1" applyFont="1" applyBorder="1" applyAlignment="1">
      <alignment horizontal="center"/>
    </xf>
    <xf numFmtId="0" fontId="24" fillId="0" borderId="18" xfId="0" quotePrefix="1" applyFont="1" applyBorder="1" applyAlignment="1">
      <alignment horizontal="center"/>
    </xf>
    <xf numFmtId="0" fontId="24" fillId="0" borderId="17" xfId="0" quotePrefix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Comma" xfId="7" builtinId="3"/>
    <cellStyle name="Normal" xfId="0" builtinId="0"/>
    <cellStyle name="เครื่องหมายจุลภาค 2" xfId="2"/>
    <cellStyle name="เครื่องหมายจุลภาค 2 2" xfId="8"/>
    <cellStyle name="เครื่องหมายจุลภาค 3" xfId="5"/>
    <cellStyle name="ปกติ 2" xfId="1"/>
    <cellStyle name="ปกติ 3" xfId="4"/>
    <cellStyle name="ปกติ_Sheet7" xfId="3"/>
    <cellStyle name="ปกติ_Sheet7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20"/>
  <sheetViews>
    <sheetView view="pageBreakPreview" topLeftCell="A918" zoomScaleSheetLayoutView="100" workbookViewId="0">
      <selection activeCell="D927" sqref="D927"/>
    </sheetView>
  </sheetViews>
  <sheetFormatPr defaultRowHeight="14.25" x14ac:dyDescent="0.2"/>
  <cols>
    <col min="1" max="1" width="15.625" customWidth="1"/>
    <col min="2" max="2" width="15.375" customWidth="1"/>
    <col min="3" max="3" width="2.875" customWidth="1"/>
    <col min="4" max="4" width="41.125" customWidth="1"/>
    <col min="5" max="5" width="9.125" customWidth="1"/>
    <col min="6" max="6" width="16.625" customWidth="1"/>
  </cols>
  <sheetData>
    <row r="1" spans="1:6" s="92" customFormat="1" ht="24" x14ac:dyDescent="0.55000000000000004">
      <c r="A1" s="611" t="s">
        <v>0</v>
      </c>
      <c r="B1" s="611"/>
      <c r="C1" s="611"/>
      <c r="D1" s="611"/>
      <c r="E1" s="611"/>
      <c r="F1" s="611"/>
    </row>
    <row r="2" spans="1:6" s="92" customFormat="1" ht="24" x14ac:dyDescent="0.55000000000000004">
      <c r="A2" s="611" t="s">
        <v>1</v>
      </c>
      <c r="B2" s="611"/>
      <c r="C2" s="611"/>
      <c r="D2" s="611"/>
      <c r="E2" s="611"/>
      <c r="F2" s="611"/>
    </row>
    <row r="3" spans="1:6" s="92" customFormat="1" ht="24" x14ac:dyDescent="0.55000000000000004">
      <c r="A3" s="68"/>
      <c r="B3" s="68"/>
      <c r="C3" s="68"/>
      <c r="D3" s="68"/>
      <c r="E3" s="1" t="s">
        <v>544</v>
      </c>
      <c r="F3" s="2"/>
    </row>
    <row r="4" spans="1:6" s="92" customFormat="1" ht="30.75" x14ac:dyDescent="0.7">
      <c r="A4" s="828" t="s">
        <v>2</v>
      </c>
      <c r="B4" s="828"/>
      <c r="C4" s="828"/>
      <c r="D4" s="828"/>
      <c r="E4" s="828"/>
      <c r="F4" s="828"/>
    </row>
    <row r="5" spans="1:6" s="92" customFormat="1" ht="24.75" thickBot="1" x14ac:dyDescent="0.6">
      <c r="A5" s="3" t="s">
        <v>3</v>
      </c>
      <c r="B5" s="3"/>
      <c r="C5" s="3"/>
      <c r="D5" s="4" t="s">
        <v>511</v>
      </c>
      <c r="E5" s="1"/>
      <c r="F5" s="3"/>
    </row>
    <row r="6" spans="1:6" s="92" customFormat="1" ht="22.5" thickTop="1" x14ac:dyDescent="0.5">
      <c r="A6" s="829" t="s">
        <v>4</v>
      </c>
      <c r="B6" s="830"/>
      <c r="C6" s="831"/>
      <c r="D6" s="832"/>
      <c r="E6" s="5"/>
      <c r="F6" s="6" t="s">
        <v>5</v>
      </c>
    </row>
    <row r="7" spans="1:6" s="92" customFormat="1" ht="21.75" x14ac:dyDescent="0.5">
      <c r="A7" s="7" t="s">
        <v>6</v>
      </c>
      <c r="B7" s="7" t="s">
        <v>7</v>
      </c>
      <c r="E7" s="8" t="s">
        <v>8</v>
      </c>
      <c r="F7" s="9" t="s">
        <v>7</v>
      </c>
    </row>
    <row r="8" spans="1:6" s="92" customFormat="1" ht="22.5" thickBot="1" x14ac:dyDescent="0.55000000000000004">
      <c r="A8" s="10" t="s">
        <v>9</v>
      </c>
      <c r="B8" s="70" t="s">
        <v>9</v>
      </c>
      <c r="C8" s="819" t="s">
        <v>10</v>
      </c>
      <c r="D8" s="820"/>
      <c r="E8" s="11" t="s">
        <v>11</v>
      </c>
      <c r="F8" s="10" t="s">
        <v>9</v>
      </c>
    </row>
    <row r="9" spans="1:6" s="92" customFormat="1" ht="24" thickTop="1" x14ac:dyDescent="0.55000000000000004">
      <c r="A9" s="12"/>
      <c r="B9" s="13">
        <v>13666979.310000001</v>
      </c>
      <c r="C9" s="14" t="s">
        <v>12</v>
      </c>
      <c r="D9" s="15"/>
      <c r="E9" s="16"/>
      <c r="F9" s="17">
        <v>13666979.310000001</v>
      </c>
    </row>
    <row r="10" spans="1:6" s="92" customFormat="1" ht="23.25" x14ac:dyDescent="0.55000000000000004">
      <c r="A10" s="18"/>
      <c r="B10" s="19" t="s">
        <v>13</v>
      </c>
      <c r="C10" s="20" t="s">
        <v>14</v>
      </c>
      <c r="D10" s="21"/>
      <c r="E10" s="22"/>
      <c r="F10" s="23"/>
    </row>
    <row r="11" spans="1:6" s="92" customFormat="1" ht="23.25" x14ac:dyDescent="0.55000000000000004">
      <c r="A11" s="23">
        <v>4070000</v>
      </c>
      <c r="B11" s="23">
        <v>0</v>
      </c>
      <c r="C11" s="93"/>
      <c r="D11" s="19" t="s">
        <v>15</v>
      </c>
      <c r="E11" s="22" t="s">
        <v>16</v>
      </c>
      <c r="F11" s="23">
        <v>0</v>
      </c>
    </row>
    <row r="12" spans="1:6" s="92" customFormat="1" ht="23.25" x14ac:dyDescent="0.55000000000000004">
      <c r="A12" s="23">
        <v>83000</v>
      </c>
      <c r="B12" s="24">
        <v>562</v>
      </c>
      <c r="C12" s="93"/>
      <c r="D12" s="19" t="s">
        <v>17</v>
      </c>
      <c r="E12" s="22" t="s">
        <v>18</v>
      </c>
      <c r="F12" s="24">
        <v>562</v>
      </c>
    </row>
    <row r="13" spans="1:6" s="92" customFormat="1" ht="23.25" x14ac:dyDescent="0.55000000000000004">
      <c r="A13" s="23">
        <v>110000</v>
      </c>
      <c r="B13" s="24">
        <v>0</v>
      </c>
      <c r="C13" s="93"/>
      <c r="D13" s="19" t="s">
        <v>19</v>
      </c>
      <c r="E13" s="22" t="s">
        <v>20</v>
      </c>
      <c r="F13" s="24">
        <v>0</v>
      </c>
    </row>
    <row r="14" spans="1:6" s="92" customFormat="1" ht="23.25" x14ac:dyDescent="0.55000000000000004">
      <c r="A14" s="23">
        <v>1005000</v>
      </c>
      <c r="B14" s="24">
        <v>41413</v>
      </c>
      <c r="C14" s="93"/>
      <c r="D14" s="19" t="s">
        <v>21</v>
      </c>
      <c r="E14" s="22" t="s">
        <v>22</v>
      </c>
      <c r="F14" s="24">
        <v>41413</v>
      </c>
    </row>
    <row r="15" spans="1:6" s="92" customFormat="1" ht="23.25" x14ac:dyDescent="0.55000000000000004">
      <c r="A15" s="23">
        <v>90000</v>
      </c>
      <c r="B15" s="23">
        <v>0</v>
      </c>
      <c r="C15" s="93"/>
      <c r="D15" s="19" t="s">
        <v>23</v>
      </c>
      <c r="E15" s="22" t="s">
        <v>24</v>
      </c>
      <c r="F15" s="24">
        <v>0</v>
      </c>
    </row>
    <row r="16" spans="1:6" s="92" customFormat="1" ht="23.25" x14ac:dyDescent="0.55000000000000004">
      <c r="A16" s="24">
        <v>2000</v>
      </c>
      <c r="B16" s="23">
        <v>0</v>
      </c>
      <c r="C16" s="93"/>
      <c r="D16" s="19" t="s">
        <v>106</v>
      </c>
      <c r="E16" s="22" t="s">
        <v>26</v>
      </c>
      <c r="F16" s="23">
        <v>0</v>
      </c>
    </row>
    <row r="17" spans="1:6" s="92" customFormat="1" ht="23.25" x14ac:dyDescent="0.55000000000000004">
      <c r="A17" s="23">
        <v>11890000</v>
      </c>
      <c r="B17" s="23">
        <v>956708.22</v>
      </c>
      <c r="C17" s="19"/>
      <c r="D17" s="19" t="s">
        <v>107</v>
      </c>
      <c r="E17" s="22"/>
      <c r="F17" s="23">
        <v>956708.22</v>
      </c>
    </row>
    <row r="18" spans="1:6" s="92" customFormat="1" ht="23.25" x14ac:dyDescent="0.55000000000000004">
      <c r="A18" s="55">
        <v>4750000</v>
      </c>
      <c r="B18" s="17">
        <v>0</v>
      </c>
      <c r="C18" s="94"/>
      <c r="D18" s="26" t="s">
        <v>108</v>
      </c>
      <c r="E18" s="27"/>
      <c r="F18" s="17">
        <v>0</v>
      </c>
    </row>
    <row r="19" spans="1:6" s="92" customFormat="1" ht="24" thickBot="1" x14ac:dyDescent="0.6">
      <c r="A19" s="28">
        <f>SUM(A11:A18)</f>
        <v>22000000</v>
      </c>
      <c r="B19" s="28">
        <f>SUM(B11:B18)</f>
        <v>998683.22</v>
      </c>
      <c r="C19" s="29"/>
      <c r="D19" s="30"/>
      <c r="E19" s="22"/>
      <c r="F19" s="28">
        <f>SUM(F11:F18)</f>
        <v>998683.22</v>
      </c>
    </row>
    <row r="20" spans="1:6" s="92" customFormat="1" ht="24" thickTop="1" x14ac:dyDescent="0.55000000000000004">
      <c r="A20" s="13"/>
      <c r="B20" s="23">
        <v>0</v>
      </c>
      <c r="C20" s="65"/>
      <c r="D20" s="19" t="s">
        <v>27</v>
      </c>
      <c r="E20" s="22"/>
      <c r="F20" s="23">
        <v>0</v>
      </c>
    </row>
    <row r="21" spans="1:6" s="92" customFormat="1" ht="23.25" x14ac:dyDescent="0.55000000000000004">
      <c r="A21" s="13"/>
      <c r="B21" s="23">
        <v>0</v>
      </c>
      <c r="C21" s="29"/>
      <c r="D21" s="19" t="s">
        <v>28</v>
      </c>
      <c r="E21" s="22"/>
      <c r="F21" s="23">
        <v>0</v>
      </c>
    </row>
    <row r="22" spans="1:6" s="92" customFormat="1" ht="23.25" x14ac:dyDescent="0.55000000000000004">
      <c r="A22" s="13"/>
      <c r="B22" s="23">
        <v>0</v>
      </c>
      <c r="C22" s="66"/>
      <c r="D22" s="19" t="s">
        <v>29</v>
      </c>
      <c r="E22" s="22"/>
      <c r="F22" s="23">
        <v>0</v>
      </c>
    </row>
    <row r="23" spans="1:6" s="92" customFormat="1" ht="23.25" x14ac:dyDescent="0.55000000000000004">
      <c r="A23" s="13"/>
      <c r="B23" s="23">
        <v>0</v>
      </c>
      <c r="C23" s="66"/>
      <c r="D23" s="19" t="s">
        <v>30</v>
      </c>
      <c r="E23" s="22"/>
      <c r="F23" s="23">
        <v>0</v>
      </c>
    </row>
    <row r="24" spans="1:6" s="92" customFormat="1" ht="23.25" x14ac:dyDescent="0.55000000000000004">
      <c r="A24" s="26"/>
      <c r="B24" s="23">
        <v>0</v>
      </c>
      <c r="C24" s="95"/>
      <c r="D24" s="19" t="s">
        <v>31</v>
      </c>
      <c r="E24" s="22" t="s">
        <v>32</v>
      </c>
      <c r="F24" s="23">
        <v>0</v>
      </c>
    </row>
    <row r="25" spans="1:6" s="92" customFormat="1" ht="23.25" x14ac:dyDescent="0.55000000000000004">
      <c r="A25" s="31"/>
      <c r="B25" s="23">
        <v>0</v>
      </c>
      <c r="C25" s="96"/>
      <c r="D25" s="19" t="s">
        <v>33</v>
      </c>
      <c r="E25" s="22" t="s">
        <v>34</v>
      </c>
      <c r="F25" s="23">
        <v>0</v>
      </c>
    </row>
    <row r="26" spans="1:6" s="92" customFormat="1" ht="23.25" x14ac:dyDescent="0.55000000000000004">
      <c r="A26" s="31"/>
      <c r="B26" s="23">
        <v>0</v>
      </c>
      <c r="C26" s="96"/>
      <c r="D26" s="26" t="s">
        <v>35</v>
      </c>
      <c r="E26" s="22" t="s">
        <v>36</v>
      </c>
      <c r="F26" s="23">
        <v>0</v>
      </c>
    </row>
    <row r="27" spans="1:6" s="92" customFormat="1" ht="23.25" x14ac:dyDescent="0.55000000000000004">
      <c r="A27" s="31"/>
      <c r="B27" s="23">
        <f>77106.05-45050</f>
        <v>32056.050000000003</v>
      </c>
      <c r="C27" s="96"/>
      <c r="D27" s="19" t="s">
        <v>37</v>
      </c>
      <c r="E27" s="27" t="s">
        <v>38</v>
      </c>
      <c r="F27" s="23">
        <f>21992.05+10064</f>
        <v>32056.05</v>
      </c>
    </row>
    <row r="28" spans="1:6" s="92" customFormat="1" ht="23.25" x14ac:dyDescent="0.55000000000000004">
      <c r="A28" s="31"/>
      <c r="B28" s="23"/>
      <c r="C28" s="96"/>
      <c r="D28" s="19" t="s">
        <v>512</v>
      </c>
      <c r="E28" s="22" t="s">
        <v>39</v>
      </c>
      <c r="F28" s="23"/>
    </row>
    <row r="29" spans="1:6" s="92" customFormat="1" ht="23.25" x14ac:dyDescent="0.55000000000000004">
      <c r="A29" s="31"/>
      <c r="B29" s="23"/>
      <c r="C29" s="96"/>
      <c r="D29" s="19" t="s">
        <v>513</v>
      </c>
      <c r="E29" s="32"/>
      <c r="F29" s="23"/>
    </row>
    <row r="30" spans="1:6" s="92" customFormat="1" ht="23.25" x14ac:dyDescent="0.55000000000000004">
      <c r="A30" s="31"/>
      <c r="B30" s="23">
        <v>21800</v>
      </c>
      <c r="C30" s="96"/>
      <c r="D30" s="33" t="s">
        <v>514</v>
      </c>
      <c r="E30" s="32"/>
      <c r="F30" s="23">
        <v>21800</v>
      </c>
    </row>
    <row r="31" spans="1:6" s="92" customFormat="1" ht="23.25" x14ac:dyDescent="0.55000000000000004">
      <c r="A31" s="31"/>
      <c r="B31" s="23">
        <v>1090</v>
      </c>
      <c r="C31" s="96"/>
      <c r="D31" s="33" t="s">
        <v>515</v>
      </c>
      <c r="E31" s="32"/>
      <c r="F31" s="23">
        <v>1090</v>
      </c>
    </row>
    <row r="32" spans="1:6" s="92" customFormat="1" ht="23.25" x14ac:dyDescent="0.55000000000000004">
      <c r="A32" s="31"/>
      <c r="B32" s="23"/>
      <c r="C32" s="96"/>
      <c r="D32" s="33" t="s">
        <v>40</v>
      </c>
      <c r="E32" s="34"/>
      <c r="F32" s="23"/>
    </row>
    <row r="33" spans="1:6" s="92" customFormat="1" ht="23.25" x14ac:dyDescent="0.55000000000000004">
      <c r="A33" s="31"/>
      <c r="B33" s="23">
        <v>1284600</v>
      </c>
      <c r="C33" s="93"/>
      <c r="D33" s="33" t="s">
        <v>516</v>
      </c>
      <c r="E33" s="22"/>
      <c r="F33" s="23">
        <v>1284600</v>
      </c>
    </row>
    <row r="34" spans="1:6" s="92" customFormat="1" ht="23.25" x14ac:dyDescent="0.55000000000000004">
      <c r="A34" s="31"/>
      <c r="B34" s="23">
        <v>6383.34</v>
      </c>
      <c r="C34" s="93"/>
      <c r="D34" s="432" t="s">
        <v>42</v>
      </c>
      <c r="E34" s="22"/>
      <c r="F34" s="23">
        <v>6383.34</v>
      </c>
    </row>
    <row r="35" spans="1:6" s="92" customFormat="1" ht="23.25" x14ac:dyDescent="0.55000000000000004">
      <c r="A35" s="31"/>
      <c r="B35" s="23">
        <v>45050</v>
      </c>
      <c r="C35" s="93"/>
      <c r="D35" s="19" t="s">
        <v>529</v>
      </c>
      <c r="E35" s="22"/>
      <c r="F35" s="23">
        <v>45050</v>
      </c>
    </row>
    <row r="36" spans="1:6" s="92" customFormat="1" ht="23.25" x14ac:dyDescent="0.55000000000000004">
      <c r="A36" s="31"/>
      <c r="B36" s="23">
        <v>0</v>
      </c>
      <c r="C36" s="383"/>
      <c r="D36" s="19"/>
      <c r="E36" s="384"/>
      <c r="F36" s="23">
        <v>0</v>
      </c>
    </row>
    <row r="37" spans="1:6" s="92" customFormat="1" ht="23.25" x14ac:dyDescent="0.55000000000000004">
      <c r="A37" s="31"/>
      <c r="B37" s="23">
        <v>0</v>
      </c>
      <c r="C37" s="96"/>
      <c r="D37" s="30"/>
      <c r="E37" s="22"/>
      <c r="F37" s="23">
        <v>0</v>
      </c>
    </row>
    <row r="38" spans="1:6" s="92" customFormat="1" ht="23.25" x14ac:dyDescent="0.55000000000000004">
      <c r="A38" s="31"/>
      <c r="B38" s="35">
        <f>SUM(B20:B37)</f>
        <v>1390979.3900000001</v>
      </c>
      <c r="C38" s="824" t="s">
        <v>43</v>
      </c>
      <c r="D38" s="823"/>
      <c r="E38" s="56"/>
      <c r="F38" s="25">
        <f>SUM(F20:F37)</f>
        <v>1390979.3900000001</v>
      </c>
    </row>
    <row r="39" spans="1:6" s="92" customFormat="1" ht="23.25" x14ac:dyDescent="0.55000000000000004">
      <c r="A39" s="31"/>
      <c r="B39" s="36">
        <f>SUM(B38+B19)</f>
        <v>2389662.6100000003</v>
      </c>
      <c r="C39" s="69"/>
      <c r="D39" s="69"/>
      <c r="E39" s="56"/>
      <c r="F39" s="37">
        <f>SUM(F38+F19)</f>
        <v>2389662.6100000003</v>
      </c>
    </row>
    <row r="40" spans="1:6" s="92" customFormat="1" ht="24.75" thickBot="1" x14ac:dyDescent="0.6">
      <c r="A40" s="38"/>
      <c r="B40" s="39"/>
      <c r="C40" s="40"/>
      <c r="D40" s="40"/>
      <c r="E40" s="41"/>
      <c r="F40" s="42"/>
    </row>
    <row r="41" spans="1:6" s="92" customFormat="1" ht="22.5" thickTop="1" x14ac:dyDescent="0.5">
      <c r="A41" s="829" t="s">
        <v>4</v>
      </c>
      <c r="B41" s="830"/>
      <c r="C41" s="831"/>
      <c r="D41" s="832"/>
      <c r="E41" s="5"/>
      <c r="F41" s="6" t="s">
        <v>5</v>
      </c>
    </row>
    <row r="42" spans="1:6" s="92" customFormat="1" ht="21.75" x14ac:dyDescent="0.5">
      <c r="A42" s="7" t="s">
        <v>6</v>
      </c>
      <c r="B42" s="67" t="s">
        <v>7</v>
      </c>
      <c r="C42" s="819" t="s">
        <v>10</v>
      </c>
      <c r="D42" s="820"/>
      <c r="E42" s="8" t="s">
        <v>8</v>
      </c>
      <c r="F42" s="9" t="s">
        <v>7</v>
      </c>
    </row>
    <row r="43" spans="1:6" s="92" customFormat="1" ht="22.5" thickBot="1" x14ac:dyDescent="0.55000000000000004">
      <c r="A43" s="10" t="s">
        <v>9</v>
      </c>
      <c r="B43" s="70" t="s">
        <v>9</v>
      </c>
      <c r="C43" s="821"/>
      <c r="D43" s="822"/>
      <c r="E43" s="11" t="s">
        <v>11</v>
      </c>
      <c r="F43" s="10" t="s">
        <v>9</v>
      </c>
    </row>
    <row r="44" spans="1:6" s="92" customFormat="1" ht="24" thickTop="1" x14ac:dyDescent="0.55000000000000004">
      <c r="A44" s="43"/>
      <c r="B44" s="13"/>
      <c r="C44" s="44" t="s">
        <v>44</v>
      </c>
      <c r="D44" s="15"/>
      <c r="E44" s="16"/>
      <c r="F44" s="17"/>
    </row>
    <row r="45" spans="1:6" s="92" customFormat="1" ht="23.25" x14ac:dyDescent="0.55000000000000004">
      <c r="A45" s="23">
        <v>1536160</v>
      </c>
      <c r="B45" s="24">
        <v>2500</v>
      </c>
      <c r="C45" s="20"/>
      <c r="D45" s="30" t="s">
        <v>41</v>
      </c>
      <c r="E45" s="22" t="s">
        <v>45</v>
      </c>
      <c r="F45" s="23">
        <v>2500</v>
      </c>
    </row>
    <row r="46" spans="1:6" s="92" customFormat="1" ht="23.25" x14ac:dyDescent="0.55000000000000004">
      <c r="A46" s="97">
        <v>2624640</v>
      </c>
      <c r="B46" s="24">
        <v>218720</v>
      </c>
      <c r="C46" s="29"/>
      <c r="D46" s="30" t="s">
        <v>46</v>
      </c>
      <c r="E46" s="22" t="s">
        <v>47</v>
      </c>
      <c r="F46" s="23">
        <v>218720</v>
      </c>
    </row>
    <row r="47" spans="1:6" s="92" customFormat="1" ht="23.25" x14ac:dyDescent="0.55000000000000004">
      <c r="A47" s="98">
        <f>4541000+35000+1527000</f>
        <v>6103000</v>
      </c>
      <c r="B47" s="24">
        <v>393371.37</v>
      </c>
      <c r="C47" s="29"/>
      <c r="D47" s="30" t="s">
        <v>48</v>
      </c>
      <c r="E47" s="22" t="s">
        <v>47</v>
      </c>
      <c r="F47" s="24">
        <v>393371.37</v>
      </c>
    </row>
    <row r="48" spans="1:6" s="92" customFormat="1" ht="23.25" x14ac:dyDescent="0.55000000000000004">
      <c r="A48" s="23">
        <f>110000+10000+76000</f>
        <v>196000</v>
      </c>
      <c r="B48" s="24">
        <v>3500</v>
      </c>
      <c r="C48" s="29"/>
      <c r="D48" s="30" t="s">
        <v>49</v>
      </c>
      <c r="E48" s="22" t="s">
        <v>47</v>
      </c>
      <c r="F48" s="23">
        <v>3500</v>
      </c>
    </row>
    <row r="49" spans="1:6" s="92" customFormat="1" ht="23.25" x14ac:dyDescent="0.55000000000000004">
      <c r="A49" s="23">
        <f>399000+210000+450000+100000+20000+80000+110000+880000+10000+100000</f>
        <v>2359000</v>
      </c>
      <c r="B49" s="24">
        <v>126305</v>
      </c>
      <c r="C49" s="29"/>
      <c r="D49" s="30" t="s">
        <v>50</v>
      </c>
      <c r="E49" s="22" t="s">
        <v>51</v>
      </c>
      <c r="F49" s="23">
        <v>126305</v>
      </c>
    </row>
    <row r="50" spans="1:6" s="92" customFormat="1" ht="23.25" x14ac:dyDescent="0.55000000000000004">
      <c r="A50" s="23">
        <f>374000+55000+510000+20000+300000+10000+400000</f>
        <v>1669000</v>
      </c>
      <c r="B50" s="23"/>
      <c r="C50" s="29"/>
      <c r="D50" s="30" t="s">
        <v>52</v>
      </c>
      <c r="E50" s="22" t="s">
        <v>53</v>
      </c>
      <c r="F50" s="23"/>
    </row>
    <row r="51" spans="1:6" s="92" customFormat="1" ht="23.25" x14ac:dyDescent="0.55000000000000004">
      <c r="A51" s="23">
        <f>271000+1100000</f>
        <v>1371000</v>
      </c>
      <c r="B51" s="24">
        <v>115218.49</v>
      </c>
      <c r="C51" s="29"/>
      <c r="D51" s="30" t="s">
        <v>54</v>
      </c>
      <c r="E51" s="22" t="s">
        <v>55</v>
      </c>
      <c r="F51" s="24">
        <v>115218.49</v>
      </c>
    </row>
    <row r="52" spans="1:6" s="92" customFormat="1" ht="23.25" x14ac:dyDescent="0.55000000000000004">
      <c r="A52" s="23">
        <f>740000+105000+20000</f>
        <v>865000</v>
      </c>
      <c r="B52" s="24">
        <v>0</v>
      </c>
      <c r="C52" s="29"/>
      <c r="D52" s="30" t="s">
        <v>25</v>
      </c>
      <c r="E52" s="22" t="s">
        <v>56</v>
      </c>
      <c r="F52" s="24">
        <v>0</v>
      </c>
    </row>
    <row r="53" spans="1:6" s="92" customFormat="1" ht="23.25" x14ac:dyDescent="0.55000000000000004">
      <c r="A53" s="23">
        <f>208100+100000+9600+256000</f>
        <v>573700</v>
      </c>
      <c r="B53" s="24">
        <v>0</v>
      </c>
      <c r="C53" s="29"/>
      <c r="D53" s="30" t="s">
        <v>57</v>
      </c>
      <c r="E53" s="22" t="s">
        <v>58</v>
      </c>
      <c r="F53" s="24">
        <v>0</v>
      </c>
    </row>
    <row r="54" spans="1:6" s="92" customFormat="1" ht="23.25" x14ac:dyDescent="0.55000000000000004">
      <c r="A54" s="24">
        <v>4682500</v>
      </c>
      <c r="B54" s="24">
        <v>0</v>
      </c>
      <c r="C54" s="29"/>
      <c r="D54" s="30" t="s">
        <v>59</v>
      </c>
      <c r="E54" s="22" t="s">
        <v>60</v>
      </c>
      <c r="F54" s="24">
        <v>0</v>
      </c>
    </row>
    <row r="55" spans="1:6" s="92" customFormat="1" ht="23.25" x14ac:dyDescent="0.55000000000000004">
      <c r="A55" s="23">
        <v>20000</v>
      </c>
      <c r="B55" s="23">
        <v>0</v>
      </c>
      <c r="C55" s="29"/>
      <c r="D55" s="30" t="s">
        <v>61</v>
      </c>
      <c r="E55" s="22" t="s">
        <v>62</v>
      </c>
      <c r="F55" s="23">
        <v>0</v>
      </c>
    </row>
    <row r="56" spans="1:6" s="92" customFormat="1" ht="23.25" x14ac:dyDescent="0.55000000000000004">
      <c r="A56" s="17"/>
      <c r="B56" s="17"/>
      <c r="C56" s="29"/>
      <c r="D56" s="31"/>
      <c r="E56" s="27"/>
      <c r="F56" s="17">
        <v>0</v>
      </c>
    </row>
    <row r="57" spans="1:6" s="92" customFormat="1" ht="24" thickBot="1" x14ac:dyDescent="0.6">
      <c r="A57" s="28">
        <f>SUM(A45:A56)</f>
        <v>22000000</v>
      </c>
      <c r="B57" s="28">
        <f>SUM(B45:B56)</f>
        <v>859614.86</v>
      </c>
      <c r="C57" s="45"/>
      <c r="D57" s="46" t="s">
        <v>13</v>
      </c>
      <c r="E57" s="28" t="s">
        <v>13</v>
      </c>
      <c r="F57" s="28">
        <f>SUM(F45:F56)</f>
        <v>859614.86</v>
      </c>
    </row>
    <row r="58" spans="1:6" s="92" customFormat="1" ht="24" thickTop="1" x14ac:dyDescent="0.55000000000000004">
      <c r="A58" s="416"/>
      <c r="B58" s="47"/>
      <c r="C58" s="48"/>
      <c r="D58" s="49"/>
      <c r="E58" s="50"/>
      <c r="F58" s="50"/>
    </row>
    <row r="59" spans="1:6" s="92" customFormat="1" ht="23.25" x14ac:dyDescent="0.55000000000000004">
      <c r="A59" s="23"/>
      <c r="B59" s="24">
        <v>0</v>
      </c>
      <c r="C59" s="20"/>
      <c r="D59" s="30" t="s">
        <v>321</v>
      </c>
      <c r="E59" s="22"/>
      <c r="F59" s="23">
        <v>0</v>
      </c>
    </row>
    <row r="60" spans="1:6" s="92" customFormat="1" ht="23.25" x14ac:dyDescent="0.55000000000000004">
      <c r="A60" s="23"/>
      <c r="B60" s="24"/>
      <c r="C60" s="20"/>
      <c r="D60" s="30" t="s">
        <v>63</v>
      </c>
      <c r="E60" s="22"/>
      <c r="F60" s="23"/>
    </row>
    <row r="61" spans="1:6" s="92" customFormat="1" ht="23.25" x14ac:dyDescent="0.55000000000000004">
      <c r="A61" s="23"/>
      <c r="B61" s="24"/>
      <c r="C61" s="20"/>
      <c r="D61" s="30" t="s">
        <v>64</v>
      </c>
      <c r="E61" s="22"/>
      <c r="F61" s="23"/>
    </row>
    <row r="62" spans="1:6" s="92" customFormat="1" ht="23.25" x14ac:dyDescent="0.55000000000000004">
      <c r="A62" s="24"/>
      <c r="B62" s="24"/>
      <c r="C62" s="29"/>
      <c r="D62" s="30" t="s">
        <v>65</v>
      </c>
      <c r="E62" s="22"/>
      <c r="F62" s="24"/>
    </row>
    <row r="63" spans="1:6" s="92" customFormat="1" ht="23.25" x14ac:dyDescent="0.55000000000000004">
      <c r="A63" s="17"/>
      <c r="B63" s="45"/>
      <c r="C63" s="45"/>
      <c r="D63" s="46" t="s">
        <v>33</v>
      </c>
      <c r="E63" s="23"/>
      <c r="F63" s="23"/>
    </row>
    <row r="64" spans="1:6" s="92" customFormat="1" ht="23.25" x14ac:dyDescent="0.55000000000000004">
      <c r="A64" s="31"/>
      <c r="B64" s="51">
        <v>961000</v>
      </c>
      <c r="C64" s="29"/>
      <c r="D64" s="30" t="s">
        <v>67</v>
      </c>
      <c r="E64" s="22" t="s">
        <v>68</v>
      </c>
      <c r="F64" s="23">
        <v>961000</v>
      </c>
    </row>
    <row r="65" spans="1:6" s="92" customFormat="1" ht="23.25" x14ac:dyDescent="0.55000000000000004">
      <c r="A65" s="31"/>
      <c r="B65" s="51"/>
      <c r="C65" s="29"/>
      <c r="D65" s="31" t="s">
        <v>66</v>
      </c>
      <c r="E65" s="27" t="s">
        <v>32</v>
      </c>
      <c r="F65" s="17"/>
    </row>
    <row r="66" spans="1:6" s="92" customFormat="1" ht="23.25" x14ac:dyDescent="0.55000000000000004">
      <c r="A66" s="31"/>
      <c r="B66" s="51">
        <v>382100</v>
      </c>
      <c r="C66" s="29"/>
      <c r="D66" s="30" t="s">
        <v>69</v>
      </c>
      <c r="E66" s="22" t="s">
        <v>36</v>
      </c>
      <c r="F66" s="24">
        <v>382100</v>
      </c>
    </row>
    <row r="67" spans="1:6" s="92" customFormat="1" ht="23.25" x14ac:dyDescent="0.55000000000000004">
      <c r="A67" s="31"/>
      <c r="B67" s="51">
        <v>16513.349999999999</v>
      </c>
      <c r="C67" s="29"/>
      <c r="D67" s="30" t="s">
        <v>70</v>
      </c>
      <c r="E67" s="22" t="s">
        <v>38</v>
      </c>
      <c r="F67" s="24">
        <v>16513.349999999999</v>
      </c>
    </row>
    <row r="68" spans="1:6" s="92" customFormat="1" ht="23.25" x14ac:dyDescent="0.55000000000000004">
      <c r="A68" s="31"/>
      <c r="B68" s="23">
        <v>0</v>
      </c>
      <c r="C68" s="19"/>
      <c r="D68" s="30" t="s">
        <v>493</v>
      </c>
      <c r="E68" s="53"/>
      <c r="F68" s="24">
        <v>0</v>
      </c>
    </row>
    <row r="69" spans="1:6" s="92" customFormat="1" ht="23.25" x14ac:dyDescent="0.55000000000000004">
      <c r="A69" s="31"/>
      <c r="B69" s="24"/>
      <c r="C69" s="19"/>
      <c r="D69" s="52" t="s">
        <v>105</v>
      </c>
      <c r="E69" s="53"/>
      <c r="F69" s="24"/>
    </row>
    <row r="70" spans="1:6" s="92" customFormat="1" ht="23.25" x14ac:dyDescent="0.55000000000000004">
      <c r="A70" s="31"/>
      <c r="B70" s="24"/>
      <c r="C70" s="19"/>
      <c r="D70" s="30" t="s">
        <v>71</v>
      </c>
      <c r="E70" s="22"/>
      <c r="F70" s="24"/>
    </row>
    <row r="71" spans="1:6" s="92" customFormat="1" ht="23.25" x14ac:dyDescent="0.55000000000000004">
      <c r="A71" s="31"/>
      <c r="B71" s="24">
        <v>0</v>
      </c>
      <c r="C71" s="29"/>
      <c r="D71" s="30" t="s">
        <v>42</v>
      </c>
      <c r="E71" s="22"/>
      <c r="F71" s="24">
        <v>0</v>
      </c>
    </row>
    <row r="72" spans="1:6" s="92" customFormat="1" ht="23.25" x14ac:dyDescent="0.55000000000000004">
      <c r="A72" s="31"/>
      <c r="B72" s="382"/>
      <c r="C72" s="394"/>
      <c r="D72" s="30" t="s">
        <v>494</v>
      </c>
      <c r="E72" s="384"/>
      <c r="F72" s="382"/>
    </row>
    <row r="73" spans="1:6" s="92" customFormat="1" ht="24" x14ac:dyDescent="0.55000000000000004">
      <c r="A73" s="31"/>
      <c r="B73" s="24"/>
      <c r="C73" s="29"/>
      <c r="D73" s="403" t="s">
        <v>495</v>
      </c>
      <c r="E73" s="22"/>
      <c r="F73" s="24"/>
    </row>
    <row r="74" spans="1:6" s="92" customFormat="1" ht="24" x14ac:dyDescent="0.55000000000000004">
      <c r="A74" s="31"/>
      <c r="B74" s="413"/>
      <c r="C74" s="29"/>
      <c r="D74" s="403" t="s">
        <v>496</v>
      </c>
      <c r="E74" s="22"/>
      <c r="F74" s="55"/>
    </row>
    <row r="75" spans="1:6" s="92" customFormat="1" ht="23.25" x14ac:dyDescent="0.55000000000000004">
      <c r="A75" s="31"/>
      <c r="B75" s="54">
        <v>1284600</v>
      </c>
      <c r="C75" s="29"/>
      <c r="D75" s="30" t="s">
        <v>517</v>
      </c>
      <c r="E75" s="22"/>
      <c r="F75" s="55">
        <v>1284600</v>
      </c>
    </row>
    <row r="76" spans="1:6" s="92" customFormat="1" ht="23.25" x14ac:dyDescent="0.55000000000000004">
      <c r="A76" s="31"/>
      <c r="B76" s="37">
        <f>SUM(B59:B75)</f>
        <v>2644213.35</v>
      </c>
      <c r="C76" s="823" t="s">
        <v>72</v>
      </c>
      <c r="D76" s="823"/>
      <c r="E76" s="56"/>
      <c r="F76" s="37">
        <f>SUM(F59:F75)</f>
        <v>2644213.35</v>
      </c>
    </row>
    <row r="77" spans="1:6" s="92" customFormat="1" ht="23.25" x14ac:dyDescent="0.55000000000000004">
      <c r="A77" s="31"/>
      <c r="B77" s="57">
        <f>SUM(B76+B57)</f>
        <v>3503828.21</v>
      </c>
      <c r="C77" s="824" t="s">
        <v>73</v>
      </c>
      <c r="D77" s="823"/>
      <c r="E77" s="56"/>
      <c r="F77" s="37">
        <f>SUM(F76+F57)</f>
        <v>3503828.21</v>
      </c>
    </row>
    <row r="78" spans="1:6" s="92" customFormat="1" ht="23.25" x14ac:dyDescent="0.55000000000000004">
      <c r="A78" s="31"/>
      <c r="B78" s="37"/>
      <c r="C78" s="824" t="s">
        <v>74</v>
      </c>
      <c r="D78" s="823"/>
      <c r="E78" s="56"/>
      <c r="F78" s="37" t="s">
        <v>13</v>
      </c>
    </row>
    <row r="79" spans="1:6" s="92" customFormat="1" ht="23.25" x14ac:dyDescent="0.55000000000000004">
      <c r="A79" s="31"/>
      <c r="B79" s="58">
        <f>SUM(B39-B77)</f>
        <v>-1114165.5999999996</v>
      </c>
      <c r="C79" s="824" t="s">
        <v>75</v>
      </c>
      <c r="D79" s="823"/>
      <c r="E79" s="56"/>
      <c r="F79" s="59">
        <f>SUM(F39-F77)</f>
        <v>-1114165.5999999996</v>
      </c>
    </row>
    <row r="80" spans="1:6" s="92" customFormat="1" ht="23.25" x14ac:dyDescent="0.55000000000000004">
      <c r="A80" s="31"/>
      <c r="B80" s="60">
        <f>SUM(B79+B9)</f>
        <v>12552813.710000001</v>
      </c>
      <c r="C80" s="824"/>
      <c r="D80" s="823"/>
      <c r="E80" s="56"/>
      <c r="F80" s="37">
        <f>SUM(F79+F9)</f>
        <v>12552813.710000001</v>
      </c>
    </row>
    <row r="81" spans="1:6" s="92" customFormat="1" ht="21.75" x14ac:dyDescent="0.5">
      <c r="A81" s="61"/>
      <c r="B81" s="61"/>
      <c r="C81" s="67"/>
      <c r="D81" s="67"/>
      <c r="E81" s="62"/>
      <c r="F81" s="63"/>
    </row>
    <row r="82" spans="1:6" s="826" customFormat="1" ht="18.75" x14ac:dyDescent="0.45">
      <c r="A82" s="825" t="s">
        <v>498</v>
      </c>
    </row>
    <row r="83" spans="1:6" s="99" customFormat="1" ht="18.75" x14ac:dyDescent="0.45">
      <c r="A83" s="429" t="s">
        <v>518</v>
      </c>
      <c r="B83" s="64"/>
      <c r="C83" s="64"/>
      <c r="D83" s="64"/>
      <c r="E83" s="64"/>
      <c r="F83" s="64"/>
    </row>
    <row r="84" spans="1:6" s="99" customFormat="1" ht="18.75" x14ac:dyDescent="0.45">
      <c r="A84" s="429" t="s">
        <v>519</v>
      </c>
      <c r="B84" s="64"/>
      <c r="C84" s="64"/>
      <c r="D84" s="64"/>
      <c r="E84" s="64"/>
      <c r="F84" s="64"/>
    </row>
    <row r="85" spans="1:6" s="92" customFormat="1" ht="18.75" x14ac:dyDescent="0.45">
      <c r="A85" s="64"/>
      <c r="B85" s="64"/>
      <c r="C85" s="64"/>
      <c r="D85" s="429" t="s">
        <v>520</v>
      </c>
      <c r="E85" s="64"/>
      <c r="F85" s="64"/>
    </row>
    <row r="86" spans="1:6" s="92" customFormat="1" ht="18.75" x14ac:dyDescent="0.45">
      <c r="A86" s="561"/>
      <c r="B86" s="561"/>
      <c r="C86" s="561"/>
      <c r="D86" s="561"/>
      <c r="E86" s="561"/>
      <c r="F86" s="561"/>
    </row>
    <row r="87" spans="1:6" s="92" customFormat="1" ht="18.75" x14ac:dyDescent="0.45">
      <c r="A87" s="561"/>
      <c r="B87" s="561"/>
      <c r="C87" s="561"/>
      <c r="D87" s="561"/>
      <c r="E87" s="561"/>
      <c r="F87" s="561"/>
    </row>
    <row r="88" spans="1:6" s="92" customFormat="1" ht="18.75" x14ac:dyDescent="0.45">
      <c r="A88" s="606"/>
      <c r="B88" s="606"/>
      <c r="C88" s="606"/>
      <c r="D88" s="606"/>
      <c r="E88" s="606"/>
      <c r="F88" s="606"/>
    </row>
    <row r="89" spans="1:6" s="92" customFormat="1" ht="18.75" x14ac:dyDescent="0.45">
      <c r="A89" s="606"/>
      <c r="B89" s="606"/>
      <c r="C89" s="606"/>
      <c r="D89" s="606"/>
      <c r="E89" s="606"/>
      <c r="F89" s="606"/>
    </row>
    <row r="90" spans="1:6" s="92" customFormat="1" ht="24" x14ac:dyDescent="0.55000000000000004">
      <c r="A90" s="611" t="s">
        <v>0</v>
      </c>
      <c r="B90" s="611"/>
      <c r="C90" s="611"/>
      <c r="D90" s="611"/>
      <c r="E90" s="611"/>
      <c r="F90" s="611"/>
    </row>
    <row r="91" spans="1:6" s="92" customFormat="1" ht="24" x14ac:dyDescent="0.55000000000000004">
      <c r="A91" s="611" t="s">
        <v>1</v>
      </c>
      <c r="B91" s="611"/>
      <c r="C91" s="611"/>
      <c r="D91" s="611"/>
      <c r="E91" s="611"/>
      <c r="F91" s="611"/>
    </row>
    <row r="92" spans="1:6" s="92" customFormat="1" ht="30.75" x14ac:dyDescent="0.7">
      <c r="A92" s="828" t="s">
        <v>2</v>
      </c>
      <c r="B92" s="828"/>
      <c r="C92" s="828"/>
      <c r="D92" s="828"/>
      <c r="E92" s="828"/>
      <c r="F92" s="828"/>
    </row>
    <row r="93" spans="1:6" s="92" customFormat="1" ht="24.75" thickBot="1" x14ac:dyDescent="0.6">
      <c r="A93" s="3" t="s">
        <v>3</v>
      </c>
      <c r="B93" s="3"/>
      <c r="C93" s="3"/>
      <c r="D93" s="4" t="s">
        <v>523</v>
      </c>
      <c r="E93" s="1"/>
      <c r="F93" s="3"/>
    </row>
    <row r="94" spans="1:6" s="92" customFormat="1" ht="22.5" thickTop="1" x14ac:dyDescent="0.5">
      <c r="A94" s="829" t="s">
        <v>4</v>
      </c>
      <c r="B94" s="830"/>
      <c r="C94" s="831"/>
      <c r="D94" s="832"/>
      <c r="E94" s="5"/>
      <c r="F94" s="6" t="s">
        <v>5</v>
      </c>
    </row>
    <row r="95" spans="1:6" s="92" customFormat="1" ht="21.75" x14ac:dyDescent="0.5">
      <c r="A95" s="7" t="s">
        <v>6</v>
      </c>
      <c r="B95" s="7" t="s">
        <v>7</v>
      </c>
      <c r="E95" s="8" t="s">
        <v>8</v>
      </c>
      <c r="F95" s="9" t="s">
        <v>7</v>
      </c>
    </row>
    <row r="96" spans="1:6" s="92" customFormat="1" ht="22.5" thickBot="1" x14ac:dyDescent="0.55000000000000004">
      <c r="A96" s="10" t="s">
        <v>9</v>
      </c>
      <c r="B96" s="435" t="s">
        <v>9</v>
      </c>
      <c r="C96" s="819" t="s">
        <v>10</v>
      </c>
      <c r="D96" s="820"/>
      <c r="E96" s="11" t="s">
        <v>11</v>
      </c>
      <c r="F96" s="10" t="s">
        <v>9</v>
      </c>
    </row>
    <row r="97" spans="1:6" s="92" customFormat="1" ht="24" thickTop="1" x14ac:dyDescent="0.55000000000000004">
      <c r="A97" s="12"/>
      <c r="B97" s="13">
        <v>13666979.310000001</v>
      </c>
      <c r="C97" s="14" t="s">
        <v>12</v>
      </c>
      <c r="D97" s="15"/>
      <c r="E97" s="16"/>
      <c r="F97" s="17">
        <v>12552813.710000001</v>
      </c>
    </row>
    <row r="98" spans="1:6" s="92" customFormat="1" ht="23.25" x14ac:dyDescent="0.55000000000000004">
      <c r="A98" s="18"/>
      <c r="B98" s="19" t="s">
        <v>13</v>
      </c>
      <c r="C98" s="20" t="s">
        <v>14</v>
      </c>
      <c r="D98" s="21"/>
      <c r="E98" s="22"/>
      <c r="F98" s="23"/>
    </row>
    <row r="99" spans="1:6" s="92" customFormat="1" ht="23.25" x14ac:dyDescent="0.55000000000000004">
      <c r="A99" s="23">
        <v>4070000</v>
      </c>
      <c r="B99" s="23">
        <v>24851.32</v>
      </c>
      <c r="C99" s="93"/>
      <c r="D99" s="19" t="s">
        <v>15</v>
      </c>
      <c r="E99" s="22" t="s">
        <v>16</v>
      </c>
      <c r="F99" s="23">
        <v>24851.32</v>
      </c>
    </row>
    <row r="100" spans="1:6" s="92" customFormat="1" ht="23.25" x14ac:dyDescent="0.55000000000000004">
      <c r="A100" s="23">
        <v>83000</v>
      </c>
      <c r="B100" s="24">
        <f>562+814</f>
        <v>1376</v>
      </c>
      <c r="C100" s="93"/>
      <c r="D100" s="19" t="s">
        <v>17</v>
      </c>
      <c r="E100" s="22" t="s">
        <v>18</v>
      </c>
      <c r="F100" s="24">
        <v>814</v>
      </c>
    </row>
    <row r="101" spans="1:6" s="92" customFormat="1" ht="23.25" x14ac:dyDescent="0.55000000000000004">
      <c r="A101" s="23">
        <v>110000</v>
      </c>
      <c r="B101" s="24">
        <v>0</v>
      </c>
      <c r="C101" s="93"/>
      <c r="D101" s="19" t="s">
        <v>19</v>
      </c>
      <c r="E101" s="22" t="s">
        <v>20</v>
      </c>
      <c r="F101" s="24">
        <v>0</v>
      </c>
    </row>
    <row r="102" spans="1:6" s="92" customFormat="1" ht="23.25" x14ac:dyDescent="0.55000000000000004">
      <c r="A102" s="23">
        <v>1005000</v>
      </c>
      <c r="B102" s="24">
        <f>41413+41107</f>
        <v>82520</v>
      </c>
      <c r="C102" s="93"/>
      <c r="D102" s="19" t="s">
        <v>21</v>
      </c>
      <c r="E102" s="22" t="s">
        <v>22</v>
      </c>
      <c r="F102" s="24">
        <v>41107</v>
      </c>
    </row>
    <row r="103" spans="1:6" s="92" customFormat="1" ht="23.25" x14ac:dyDescent="0.55000000000000004">
      <c r="A103" s="23">
        <v>90000</v>
      </c>
      <c r="B103" s="23">
        <v>3500</v>
      </c>
      <c r="C103" s="93"/>
      <c r="D103" s="19" t="s">
        <v>23</v>
      </c>
      <c r="E103" s="22" t="s">
        <v>24</v>
      </c>
      <c r="F103" s="24">
        <v>3500</v>
      </c>
    </row>
    <row r="104" spans="1:6" s="92" customFormat="1" ht="23.25" x14ac:dyDescent="0.55000000000000004">
      <c r="A104" s="24">
        <v>2000</v>
      </c>
      <c r="B104" s="23">
        <v>0</v>
      </c>
      <c r="C104" s="93"/>
      <c r="D104" s="19" t="s">
        <v>106</v>
      </c>
      <c r="E104" s="22" t="s">
        <v>26</v>
      </c>
      <c r="F104" s="23">
        <v>0</v>
      </c>
    </row>
    <row r="105" spans="1:6" s="92" customFormat="1" ht="23.25" x14ac:dyDescent="0.55000000000000004">
      <c r="A105" s="23">
        <v>11890000</v>
      </c>
      <c r="B105" s="23">
        <f>956708.22+877096.73</f>
        <v>1833804.95</v>
      </c>
      <c r="C105" s="19"/>
      <c r="D105" s="19" t="s">
        <v>107</v>
      </c>
      <c r="E105" s="22"/>
      <c r="F105" s="23">
        <v>877096.73</v>
      </c>
    </row>
    <row r="106" spans="1:6" s="92" customFormat="1" ht="23.25" x14ac:dyDescent="0.55000000000000004">
      <c r="A106" s="55">
        <v>4750000</v>
      </c>
      <c r="B106" s="17">
        <v>1357655</v>
      </c>
      <c r="C106" s="94"/>
      <c r="D106" s="26" t="s">
        <v>108</v>
      </c>
      <c r="E106" s="27"/>
      <c r="F106" s="17">
        <v>1357655</v>
      </c>
    </row>
    <row r="107" spans="1:6" s="92" customFormat="1" ht="24" thickBot="1" x14ac:dyDescent="0.6">
      <c r="A107" s="28">
        <f>SUM(A99:A106)</f>
        <v>22000000</v>
      </c>
      <c r="B107" s="28">
        <f>SUM(B99:B106)</f>
        <v>3303707.27</v>
      </c>
      <c r="C107" s="29"/>
      <c r="D107" s="30"/>
      <c r="E107" s="22"/>
      <c r="F107" s="28">
        <f>SUM(F99:F106)</f>
        <v>2305024.0499999998</v>
      </c>
    </row>
    <row r="108" spans="1:6" s="92" customFormat="1" ht="24" thickTop="1" x14ac:dyDescent="0.55000000000000004">
      <c r="A108" s="13"/>
      <c r="B108" s="23">
        <v>0</v>
      </c>
      <c r="C108" s="65"/>
      <c r="D108" s="19" t="s">
        <v>27</v>
      </c>
      <c r="E108" s="22"/>
      <c r="F108" s="23">
        <v>0</v>
      </c>
    </row>
    <row r="109" spans="1:6" s="92" customFormat="1" ht="23.25" x14ac:dyDescent="0.55000000000000004">
      <c r="A109" s="13"/>
      <c r="B109" s="23">
        <v>0</v>
      </c>
      <c r="C109" s="29"/>
      <c r="D109" s="19" t="s">
        <v>28</v>
      </c>
      <c r="E109" s="22"/>
      <c r="F109" s="23">
        <v>0</v>
      </c>
    </row>
    <row r="110" spans="1:6" s="92" customFormat="1" ht="23.25" x14ac:dyDescent="0.55000000000000004">
      <c r="A110" s="13"/>
      <c r="B110" s="23">
        <v>187.15</v>
      </c>
      <c r="C110" s="66"/>
      <c r="D110" s="19" t="s">
        <v>29</v>
      </c>
      <c r="E110" s="22"/>
      <c r="F110" s="23">
        <v>187.15</v>
      </c>
    </row>
    <row r="111" spans="1:6" s="92" customFormat="1" ht="23.25" x14ac:dyDescent="0.55000000000000004">
      <c r="A111" s="13"/>
      <c r="B111" s="23">
        <v>0</v>
      </c>
      <c r="C111" s="66"/>
      <c r="D111" s="19" t="s">
        <v>30</v>
      </c>
      <c r="E111" s="22"/>
      <c r="F111" s="23">
        <v>0</v>
      </c>
    </row>
    <row r="112" spans="1:6" s="92" customFormat="1" ht="23.25" x14ac:dyDescent="0.55000000000000004">
      <c r="A112" s="26"/>
      <c r="B112" s="23">
        <v>0</v>
      </c>
      <c r="C112" s="95"/>
      <c r="D112" s="19" t="s">
        <v>31</v>
      </c>
      <c r="E112" s="22" t="s">
        <v>32</v>
      </c>
      <c r="F112" s="23">
        <v>0</v>
      </c>
    </row>
    <row r="113" spans="1:6" s="92" customFormat="1" ht="23.25" x14ac:dyDescent="0.55000000000000004">
      <c r="A113" s="31"/>
      <c r="B113" s="23">
        <v>0</v>
      </c>
      <c r="C113" s="96"/>
      <c r="D113" s="19" t="s">
        <v>33</v>
      </c>
      <c r="E113" s="22" t="s">
        <v>34</v>
      </c>
      <c r="F113" s="23">
        <v>0</v>
      </c>
    </row>
    <row r="114" spans="1:6" s="92" customFormat="1" ht="23.25" x14ac:dyDescent="0.55000000000000004">
      <c r="A114" s="31"/>
      <c r="B114" s="23">
        <v>763200</v>
      </c>
      <c r="C114" s="96"/>
      <c r="D114" s="26" t="s">
        <v>35</v>
      </c>
      <c r="E114" s="22" t="s">
        <v>36</v>
      </c>
      <c r="F114" s="23">
        <v>763200</v>
      </c>
    </row>
    <row r="115" spans="1:6" s="92" customFormat="1" ht="23.25" x14ac:dyDescent="0.55000000000000004">
      <c r="A115" s="31"/>
      <c r="B115" s="23">
        <f>77106.05+179271.55+39555.32+11940.5-45050</f>
        <v>262823.42</v>
      </c>
      <c r="C115" s="96"/>
      <c r="D115" s="19" t="s">
        <v>37</v>
      </c>
      <c r="E115" s="27" t="s">
        <v>38</v>
      </c>
      <c r="F115" s="23">
        <f>21.55+179250+39555.32+11940.5</f>
        <v>230767.37</v>
      </c>
    </row>
    <row r="116" spans="1:6" s="92" customFormat="1" ht="23.25" x14ac:dyDescent="0.55000000000000004">
      <c r="A116" s="31"/>
      <c r="B116" s="23"/>
      <c r="C116" s="96"/>
      <c r="D116" s="19" t="s">
        <v>538</v>
      </c>
      <c r="E116" s="22" t="s">
        <v>39</v>
      </c>
      <c r="F116" s="23"/>
    </row>
    <row r="117" spans="1:6" s="92" customFormat="1" ht="23.25" x14ac:dyDescent="0.55000000000000004">
      <c r="A117" s="31"/>
      <c r="B117" s="23"/>
      <c r="C117" s="96"/>
      <c r="D117" s="19" t="s">
        <v>538</v>
      </c>
      <c r="E117" s="32"/>
      <c r="F117" s="23"/>
    </row>
    <row r="118" spans="1:6" s="92" customFormat="1" ht="23.25" x14ac:dyDescent="0.55000000000000004">
      <c r="A118" s="31"/>
      <c r="B118" s="23">
        <f>21800+186690</f>
        <v>208490</v>
      </c>
      <c r="C118" s="96"/>
      <c r="D118" s="33" t="s">
        <v>514</v>
      </c>
      <c r="E118" s="32"/>
      <c r="F118" s="23">
        <f>118290+68400</f>
        <v>186690</v>
      </c>
    </row>
    <row r="119" spans="1:6" s="92" customFormat="1" ht="23.25" x14ac:dyDescent="0.55000000000000004">
      <c r="A119" s="31"/>
      <c r="B119" s="23">
        <f>1090+3420</f>
        <v>4510</v>
      </c>
      <c r="C119" s="96"/>
      <c r="D119" s="33" t="s">
        <v>515</v>
      </c>
      <c r="E119" s="32"/>
      <c r="F119" s="23">
        <v>3420</v>
      </c>
    </row>
    <row r="120" spans="1:6" s="92" customFormat="1" ht="23.25" x14ac:dyDescent="0.55000000000000004">
      <c r="A120" s="31"/>
      <c r="B120" s="23"/>
      <c r="C120" s="96"/>
      <c r="D120" s="33" t="s">
        <v>40</v>
      </c>
      <c r="E120" s="34"/>
      <c r="F120" s="23"/>
    </row>
    <row r="121" spans="1:6" s="92" customFormat="1" ht="23.25" x14ac:dyDescent="0.55000000000000004">
      <c r="A121" s="31"/>
      <c r="B121" s="23">
        <f>1284600+2997400</f>
        <v>4282000</v>
      </c>
      <c r="C121" s="93"/>
      <c r="D121" s="33" t="s">
        <v>527</v>
      </c>
      <c r="E121" s="22"/>
      <c r="F121" s="23">
        <v>2997400</v>
      </c>
    </row>
    <row r="122" spans="1:6" s="92" customFormat="1" ht="23.25" x14ac:dyDescent="0.55000000000000004">
      <c r="A122" s="31"/>
      <c r="B122" s="23">
        <v>6383.34</v>
      </c>
      <c r="C122" s="96"/>
      <c r="D122" s="438" t="s">
        <v>42</v>
      </c>
      <c r="E122" s="22"/>
      <c r="F122" s="23"/>
    </row>
    <row r="123" spans="1:6" s="92" customFormat="1" ht="23.25" x14ac:dyDescent="0.55000000000000004">
      <c r="A123" s="31"/>
      <c r="B123" s="23">
        <v>50400</v>
      </c>
      <c r="C123" s="96"/>
      <c r="D123" s="438" t="s">
        <v>524</v>
      </c>
      <c r="E123" s="22"/>
      <c r="F123" s="23">
        <v>50400</v>
      </c>
    </row>
    <row r="124" spans="1:6" s="92" customFormat="1" ht="23.25" x14ac:dyDescent="0.55000000000000004">
      <c r="A124" s="31"/>
      <c r="B124" s="23">
        <v>1011900</v>
      </c>
      <c r="C124" s="96"/>
      <c r="D124" s="438" t="s">
        <v>525</v>
      </c>
      <c r="E124" s="22"/>
      <c r="F124" s="23">
        <v>1011900</v>
      </c>
    </row>
    <row r="125" spans="1:6" s="92" customFormat="1" ht="23.25" x14ac:dyDescent="0.55000000000000004">
      <c r="A125" s="31"/>
      <c r="B125" s="23">
        <v>136800</v>
      </c>
      <c r="C125" s="96"/>
      <c r="D125" s="438" t="s">
        <v>526</v>
      </c>
      <c r="E125" s="22"/>
      <c r="F125" s="23">
        <v>136800</v>
      </c>
    </row>
    <row r="126" spans="1:6" s="92" customFormat="1" ht="23.25" x14ac:dyDescent="0.55000000000000004">
      <c r="A126" s="31"/>
      <c r="B126" s="23">
        <v>430</v>
      </c>
      <c r="C126" s="96"/>
      <c r="D126" s="438" t="s">
        <v>528</v>
      </c>
      <c r="E126" s="22"/>
      <c r="F126" s="23">
        <v>430</v>
      </c>
    </row>
    <row r="127" spans="1:6" s="92" customFormat="1" ht="23.25" x14ac:dyDescent="0.55000000000000004">
      <c r="A127" s="31"/>
      <c r="B127" s="23">
        <v>45050</v>
      </c>
      <c r="C127" s="96"/>
      <c r="D127" s="19" t="s">
        <v>529</v>
      </c>
      <c r="E127" s="22"/>
      <c r="F127" s="23"/>
    </row>
    <row r="128" spans="1:6" s="92" customFormat="1" ht="23.25" x14ac:dyDescent="0.55000000000000004">
      <c r="A128" s="31"/>
      <c r="B128" s="23"/>
      <c r="C128" s="437"/>
      <c r="D128" s="438"/>
      <c r="E128" s="22"/>
      <c r="F128" s="23"/>
    </row>
    <row r="129" spans="1:6" s="92" customFormat="1" ht="23.25" x14ac:dyDescent="0.55000000000000004">
      <c r="A129" s="31"/>
      <c r="B129" s="23">
        <v>0</v>
      </c>
      <c r="C129" s="93"/>
      <c r="D129" s="19"/>
      <c r="E129" s="22"/>
      <c r="F129" s="23">
        <v>0</v>
      </c>
    </row>
    <row r="130" spans="1:6" s="92" customFormat="1" ht="23.25" x14ac:dyDescent="0.55000000000000004">
      <c r="A130" s="31"/>
      <c r="B130" s="23">
        <v>0</v>
      </c>
      <c r="C130" s="383"/>
      <c r="D130" s="19"/>
      <c r="E130" s="384"/>
      <c r="F130" s="23">
        <v>0</v>
      </c>
    </row>
    <row r="131" spans="1:6" s="92" customFormat="1" ht="23.25" x14ac:dyDescent="0.55000000000000004">
      <c r="A131" s="31"/>
      <c r="B131" s="23">
        <v>0</v>
      </c>
      <c r="C131" s="96"/>
      <c r="D131" s="30"/>
      <c r="E131" s="22"/>
      <c r="F131" s="23">
        <v>0</v>
      </c>
    </row>
    <row r="132" spans="1:6" s="92" customFormat="1" ht="23.25" x14ac:dyDescent="0.55000000000000004">
      <c r="A132" s="31"/>
      <c r="B132" s="35">
        <f>SUM(B108:B131)</f>
        <v>6772173.9100000001</v>
      </c>
      <c r="C132" s="824" t="s">
        <v>43</v>
      </c>
      <c r="D132" s="823"/>
      <c r="E132" s="56"/>
      <c r="F132" s="25">
        <f>SUM(F108:F131)</f>
        <v>5381194.5199999996</v>
      </c>
    </row>
    <row r="133" spans="1:6" s="92" customFormat="1" ht="23.25" x14ac:dyDescent="0.55000000000000004">
      <c r="A133" s="31"/>
      <c r="B133" s="36">
        <f>SUM(B132+B107)</f>
        <v>10075881.18</v>
      </c>
      <c r="C133" s="433"/>
      <c r="D133" s="433"/>
      <c r="E133" s="56"/>
      <c r="F133" s="37">
        <f>SUM(F132+F107)</f>
        <v>7686218.5699999994</v>
      </c>
    </row>
    <row r="134" spans="1:6" s="92" customFormat="1" ht="24" x14ac:dyDescent="0.55000000000000004">
      <c r="A134" s="38"/>
      <c r="B134" s="39"/>
      <c r="C134" s="40"/>
      <c r="D134" s="40"/>
      <c r="E134" s="41"/>
      <c r="F134" s="42"/>
    </row>
    <row r="135" spans="1:6" s="92" customFormat="1" ht="24" x14ac:dyDescent="0.55000000000000004">
      <c r="A135" s="38"/>
      <c r="B135" s="39"/>
      <c r="C135" s="40"/>
      <c r="D135" s="40"/>
      <c r="E135" s="41"/>
      <c r="F135" s="42"/>
    </row>
    <row r="136" spans="1:6" s="92" customFormat="1" ht="24" x14ac:dyDescent="0.55000000000000004">
      <c r="A136" s="38"/>
      <c r="B136" s="39"/>
      <c r="C136" s="40"/>
      <c r="D136" s="40"/>
      <c r="E136" s="41"/>
      <c r="F136" s="42"/>
    </row>
    <row r="137" spans="1:6" s="92" customFormat="1" ht="24" x14ac:dyDescent="0.55000000000000004">
      <c r="A137" s="38"/>
      <c r="B137" s="39"/>
      <c r="C137" s="40"/>
      <c r="D137" s="40"/>
      <c r="E137" s="41"/>
      <c r="F137" s="42"/>
    </row>
    <row r="138" spans="1:6" s="92" customFormat="1" ht="24.75" thickBot="1" x14ac:dyDescent="0.6">
      <c r="A138" s="38"/>
      <c r="B138" s="39"/>
      <c r="C138" s="40"/>
      <c r="D138" s="40"/>
      <c r="E138" s="41"/>
      <c r="F138" s="42"/>
    </row>
    <row r="139" spans="1:6" s="92" customFormat="1" ht="22.5" thickTop="1" x14ac:dyDescent="0.5">
      <c r="A139" s="829" t="s">
        <v>4</v>
      </c>
      <c r="B139" s="830"/>
      <c r="C139" s="831"/>
      <c r="D139" s="832"/>
      <c r="E139" s="5"/>
      <c r="F139" s="6" t="s">
        <v>5</v>
      </c>
    </row>
    <row r="140" spans="1:6" s="92" customFormat="1" ht="21.75" x14ac:dyDescent="0.5">
      <c r="A140" s="7" t="s">
        <v>6</v>
      </c>
      <c r="B140" s="434" t="s">
        <v>7</v>
      </c>
      <c r="C140" s="819" t="s">
        <v>10</v>
      </c>
      <c r="D140" s="820"/>
      <c r="E140" s="8" t="s">
        <v>8</v>
      </c>
      <c r="F140" s="9" t="s">
        <v>7</v>
      </c>
    </row>
    <row r="141" spans="1:6" s="92" customFormat="1" ht="22.5" thickBot="1" x14ac:dyDescent="0.55000000000000004">
      <c r="A141" s="10" t="s">
        <v>9</v>
      </c>
      <c r="B141" s="435" t="s">
        <v>9</v>
      </c>
      <c r="C141" s="821"/>
      <c r="D141" s="822"/>
      <c r="E141" s="11" t="s">
        <v>11</v>
      </c>
      <c r="F141" s="10" t="s">
        <v>9</v>
      </c>
    </row>
    <row r="142" spans="1:6" s="92" customFormat="1" ht="24" thickTop="1" x14ac:dyDescent="0.55000000000000004">
      <c r="A142" s="43"/>
      <c r="B142" s="13"/>
      <c r="C142" s="44" t="s">
        <v>44</v>
      </c>
      <c r="D142" s="15"/>
      <c r="E142" s="16"/>
      <c r="F142" s="17"/>
    </row>
    <row r="143" spans="1:6" s="92" customFormat="1" ht="23.25" x14ac:dyDescent="0.55000000000000004">
      <c r="A143" s="23">
        <v>1536160</v>
      </c>
      <c r="B143" s="24">
        <f>2500+13795.5</f>
        <v>16295.5</v>
      </c>
      <c r="C143" s="20"/>
      <c r="D143" s="30" t="s">
        <v>41</v>
      </c>
      <c r="E143" s="22" t="s">
        <v>45</v>
      </c>
      <c r="F143" s="23">
        <v>13795.5</v>
      </c>
    </row>
    <row r="144" spans="1:6" s="92" customFormat="1" ht="23.25" x14ac:dyDescent="0.55000000000000004">
      <c r="A144" s="97">
        <v>2624640</v>
      </c>
      <c r="B144" s="24">
        <f>218720+218720</f>
        <v>437440</v>
      </c>
      <c r="C144" s="29"/>
      <c r="D144" s="30" t="s">
        <v>46</v>
      </c>
      <c r="E144" s="22" t="s">
        <v>47</v>
      </c>
      <c r="F144" s="23">
        <v>218720</v>
      </c>
    </row>
    <row r="145" spans="1:6" s="92" customFormat="1" ht="23.25" x14ac:dyDescent="0.55000000000000004">
      <c r="A145" s="98">
        <f>4541000+35000+1527000</f>
        <v>6103000</v>
      </c>
      <c r="B145" s="24">
        <f>393371.37+452770</f>
        <v>846141.37</v>
      </c>
      <c r="C145" s="29"/>
      <c r="D145" s="30" t="s">
        <v>48</v>
      </c>
      <c r="E145" s="22" t="s">
        <v>47</v>
      </c>
      <c r="F145" s="24">
        <v>452770</v>
      </c>
    </row>
    <row r="146" spans="1:6" s="92" customFormat="1" ht="23.25" x14ac:dyDescent="0.55000000000000004">
      <c r="A146" s="23">
        <f>110000+10000+76000</f>
        <v>196000</v>
      </c>
      <c r="B146" s="24">
        <f>3500+22700</f>
        <v>26200</v>
      </c>
      <c r="C146" s="29"/>
      <c r="D146" s="30" t="s">
        <v>49</v>
      </c>
      <c r="E146" s="22" t="s">
        <v>47</v>
      </c>
      <c r="F146" s="23">
        <v>22700</v>
      </c>
    </row>
    <row r="147" spans="1:6" s="92" customFormat="1" ht="23.25" x14ac:dyDescent="0.55000000000000004">
      <c r="A147" s="23">
        <f>399000+210000+450000+100000+20000+80000+110000+880000+10000+100000</f>
        <v>2359000</v>
      </c>
      <c r="B147" s="24">
        <f>126305+47540</f>
        <v>173845</v>
      </c>
      <c r="C147" s="29"/>
      <c r="D147" s="30" t="s">
        <v>50</v>
      </c>
      <c r="E147" s="22" t="s">
        <v>51</v>
      </c>
      <c r="F147" s="23">
        <v>47540</v>
      </c>
    </row>
    <row r="148" spans="1:6" s="92" customFormat="1" ht="23.25" x14ac:dyDescent="0.55000000000000004">
      <c r="A148" s="23">
        <f>374000+55000+510000+20000+300000+10000+400000</f>
        <v>1669000</v>
      </c>
      <c r="B148" s="23">
        <v>8670</v>
      </c>
      <c r="C148" s="29"/>
      <c r="D148" s="30" t="s">
        <v>52</v>
      </c>
      <c r="E148" s="22" t="s">
        <v>53</v>
      </c>
      <c r="F148" s="23">
        <v>8670</v>
      </c>
    </row>
    <row r="149" spans="1:6" s="92" customFormat="1" ht="23.25" x14ac:dyDescent="0.55000000000000004">
      <c r="A149" s="23">
        <f>271000+1100000</f>
        <v>1371000</v>
      </c>
      <c r="B149" s="24">
        <f>115218.49+932</f>
        <v>116150.49</v>
      </c>
      <c r="C149" s="29"/>
      <c r="D149" s="30" t="s">
        <v>54</v>
      </c>
      <c r="E149" s="22" t="s">
        <v>55</v>
      </c>
      <c r="F149" s="24">
        <v>932</v>
      </c>
    </row>
    <row r="150" spans="1:6" s="92" customFormat="1" ht="23.25" x14ac:dyDescent="0.55000000000000004">
      <c r="A150" s="23">
        <f>740000+105000+20000</f>
        <v>865000</v>
      </c>
      <c r="B150" s="24">
        <v>217000</v>
      </c>
      <c r="C150" s="29"/>
      <c r="D150" s="30" t="s">
        <v>25</v>
      </c>
      <c r="E150" s="22" t="s">
        <v>56</v>
      </c>
      <c r="F150" s="24">
        <v>217000</v>
      </c>
    </row>
    <row r="151" spans="1:6" s="92" customFormat="1" ht="23.25" x14ac:dyDescent="0.55000000000000004">
      <c r="A151" s="23">
        <f>208100+100000+9600+256000</f>
        <v>573700</v>
      </c>
      <c r="B151" s="24">
        <v>0</v>
      </c>
      <c r="C151" s="29"/>
      <c r="D151" s="30" t="s">
        <v>57</v>
      </c>
      <c r="E151" s="22" t="s">
        <v>58</v>
      </c>
      <c r="F151" s="24">
        <v>0</v>
      </c>
    </row>
    <row r="152" spans="1:6" s="92" customFormat="1" ht="23.25" x14ac:dyDescent="0.55000000000000004">
      <c r="A152" s="24">
        <v>4682500</v>
      </c>
      <c r="B152" s="24">
        <v>0</v>
      </c>
      <c r="C152" s="29"/>
      <c r="D152" s="30" t="s">
        <v>59</v>
      </c>
      <c r="E152" s="22" t="s">
        <v>60</v>
      </c>
      <c r="F152" s="24">
        <v>0</v>
      </c>
    </row>
    <row r="153" spans="1:6" s="92" customFormat="1" ht="23.25" x14ac:dyDescent="0.55000000000000004">
      <c r="A153" s="23">
        <v>20000</v>
      </c>
      <c r="B153" s="23">
        <v>0</v>
      </c>
      <c r="C153" s="29"/>
      <c r="D153" s="30" t="s">
        <v>61</v>
      </c>
      <c r="E153" s="22" t="s">
        <v>62</v>
      </c>
      <c r="F153" s="23">
        <v>0</v>
      </c>
    </row>
    <row r="154" spans="1:6" s="92" customFormat="1" ht="23.25" x14ac:dyDescent="0.55000000000000004">
      <c r="A154" s="17"/>
      <c r="B154" s="17"/>
      <c r="C154" s="29"/>
      <c r="D154" s="31"/>
      <c r="E154" s="27"/>
      <c r="F154" s="17">
        <v>0</v>
      </c>
    </row>
    <row r="155" spans="1:6" s="92" customFormat="1" ht="24" thickBot="1" x14ac:dyDescent="0.6">
      <c r="A155" s="28">
        <f>SUM(A143:A154)</f>
        <v>22000000</v>
      </c>
      <c r="B155" s="28">
        <f>SUM(B143:B154)</f>
        <v>1841742.36</v>
      </c>
      <c r="C155" s="45"/>
      <c r="D155" s="46" t="s">
        <v>13</v>
      </c>
      <c r="E155" s="28" t="s">
        <v>13</v>
      </c>
      <c r="F155" s="28">
        <f>SUM(F143:F154)</f>
        <v>982127.5</v>
      </c>
    </row>
    <row r="156" spans="1:6" s="92" customFormat="1" ht="24" thickTop="1" x14ac:dyDescent="0.55000000000000004">
      <c r="A156" s="416"/>
      <c r="B156" s="47"/>
      <c r="C156" s="48"/>
      <c r="D156" s="49"/>
      <c r="E156" s="50"/>
      <c r="F156" s="50"/>
    </row>
    <row r="157" spans="1:6" s="92" customFormat="1" ht="23.25" x14ac:dyDescent="0.55000000000000004">
      <c r="A157" s="23"/>
      <c r="B157" s="24">
        <v>0</v>
      </c>
      <c r="C157" s="20"/>
      <c r="D157" s="30" t="s">
        <v>321</v>
      </c>
      <c r="E157" s="22"/>
      <c r="F157" s="23">
        <v>0</v>
      </c>
    </row>
    <row r="158" spans="1:6" s="92" customFormat="1" ht="23.25" x14ac:dyDescent="0.55000000000000004">
      <c r="A158" s="23"/>
      <c r="B158" s="24">
        <v>672000</v>
      </c>
      <c r="C158" s="20"/>
      <c r="D158" s="30" t="s">
        <v>63</v>
      </c>
      <c r="E158" s="22"/>
      <c r="F158" s="23">
        <v>672000</v>
      </c>
    </row>
    <row r="159" spans="1:6" s="92" customFormat="1" ht="23.25" x14ac:dyDescent="0.55000000000000004">
      <c r="A159" s="23"/>
      <c r="B159" s="24">
        <v>91200</v>
      </c>
      <c r="C159" s="20"/>
      <c r="D159" s="30" t="s">
        <v>64</v>
      </c>
      <c r="E159" s="22"/>
      <c r="F159" s="23">
        <v>91200</v>
      </c>
    </row>
    <row r="160" spans="1:6" s="92" customFormat="1" ht="23.25" x14ac:dyDescent="0.55000000000000004">
      <c r="A160" s="24"/>
      <c r="B160" s="24"/>
      <c r="C160" s="29"/>
      <c r="D160" s="30" t="s">
        <v>65</v>
      </c>
      <c r="E160" s="22"/>
      <c r="F160" s="24"/>
    </row>
    <row r="161" spans="1:6" s="92" customFormat="1" ht="23.25" x14ac:dyDescent="0.55000000000000004">
      <c r="A161" s="17"/>
      <c r="B161" s="45">
        <v>443000</v>
      </c>
      <c r="C161" s="45"/>
      <c r="D161" s="46" t="s">
        <v>33</v>
      </c>
      <c r="E161" s="23"/>
      <c r="F161" s="23">
        <v>443000</v>
      </c>
    </row>
    <row r="162" spans="1:6" s="92" customFormat="1" ht="23.25" x14ac:dyDescent="0.55000000000000004">
      <c r="A162" s="31"/>
      <c r="B162" s="51">
        <f>961000+760000</f>
        <v>1721000</v>
      </c>
      <c r="C162" s="29"/>
      <c r="D162" s="30" t="s">
        <v>67</v>
      </c>
      <c r="E162" s="22" t="s">
        <v>68</v>
      </c>
      <c r="F162" s="23">
        <v>760000</v>
      </c>
    </row>
    <row r="163" spans="1:6" s="92" customFormat="1" ht="23.25" x14ac:dyDescent="0.55000000000000004">
      <c r="A163" s="31"/>
      <c r="B163" s="51"/>
      <c r="C163" s="29"/>
      <c r="D163" s="31" t="s">
        <v>66</v>
      </c>
      <c r="E163" s="27" t="s">
        <v>32</v>
      </c>
      <c r="F163" s="17"/>
    </row>
    <row r="164" spans="1:6" s="92" customFormat="1" ht="23.25" x14ac:dyDescent="0.55000000000000004">
      <c r="A164" s="31"/>
      <c r="B164" s="51">
        <f>382100+381100</f>
        <v>763200</v>
      </c>
      <c r="C164" s="29"/>
      <c r="D164" s="30" t="s">
        <v>69</v>
      </c>
      <c r="E164" s="22" t="s">
        <v>36</v>
      </c>
      <c r="F164" s="24">
        <v>381100</v>
      </c>
    </row>
    <row r="165" spans="1:6" s="92" customFormat="1" ht="23.25" x14ac:dyDescent="0.55000000000000004">
      <c r="A165" s="31"/>
      <c r="B165" s="51">
        <f>16513.35+21992.05</f>
        <v>38505.399999999994</v>
      </c>
      <c r="C165" s="29"/>
      <c r="D165" s="30" t="s">
        <v>70</v>
      </c>
      <c r="E165" s="22" t="s">
        <v>38</v>
      </c>
      <c r="F165" s="24">
        <v>21992.05</v>
      </c>
    </row>
    <row r="166" spans="1:6" s="92" customFormat="1" ht="23.25" x14ac:dyDescent="0.55000000000000004">
      <c r="A166" s="31"/>
      <c r="B166" s="23">
        <v>11295.5</v>
      </c>
      <c r="C166" s="19"/>
      <c r="D166" s="30" t="s">
        <v>493</v>
      </c>
      <c r="E166" s="53"/>
      <c r="F166" s="24">
        <v>11295.5</v>
      </c>
    </row>
    <row r="167" spans="1:6" s="92" customFormat="1" ht="23.25" x14ac:dyDescent="0.55000000000000004">
      <c r="A167" s="31"/>
      <c r="B167" s="24"/>
      <c r="C167" s="19"/>
      <c r="D167" s="52" t="s">
        <v>105</v>
      </c>
      <c r="E167" s="53"/>
      <c r="F167" s="24"/>
    </row>
    <row r="168" spans="1:6" s="92" customFormat="1" ht="23.25" x14ac:dyDescent="0.55000000000000004">
      <c r="A168" s="31"/>
      <c r="B168" s="24"/>
      <c r="C168" s="19"/>
      <c r="D168" s="30" t="s">
        <v>71</v>
      </c>
      <c r="E168" s="22"/>
      <c r="F168" s="24"/>
    </row>
    <row r="169" spans="1:6" s="92" customFormat="1" ht="23.25" x14ac:dyDescent="0.55000000000000004">
      <c r="A169" s="31"/>
      <c r="B169" s="24">
        <v>0</v>
      </c>
      <c r="C169" s="29"/>
      <c r="D169" s="30" t="s">
        <v>42</v>
      </c>
      <c r="E169" s="22"/>
      <c r="F169" s="24">
        <v>0</v>
      </c>
    </row>
    <row r="170" spans="1:6" s="92" customFormat="1" ht="23.25" x14ac:dyDescent="0.55000000000000004">
      <c r="A170" s="31"/>
      <c r="B170" s="98">
        <v>61820</v>
      </c>
      <c r="C170" s="394"/>
      <c r="D170" s="30" t="s">
        <v>494</v>
      </c>
      <c r="E170" s="384"/>
      <c r="F170" s="98">
        <v>61820</v>
      </c>
    </row>
    <row r="171" spans="1:6" s="92" customFormat="1" ht="24" x14ac:dyDescent="0.55000000000000004">
      <c r="A171" s="31"/>
      <c r="B171" s="24">
        <v>5500</v>
      </c>
      <c r="C171" s="29"/>
      <c r="D171" s="439" t="s">
        <v>529</v>
      </c>
      <c r="E171" s="22"/>
      <c r="F171" s="24">
        <v>5500</v>
      </c>
    </row>
    <row r="172" spans="1:6" s="92" customFormat="1" ht="23.25" x14ac:dyDescent="0.55000000000000004">
      <c r="A172" s="31"/>
      <c r="B172" s="54">
        <f>1284600+2997400</f>
        <v>4282000</v>
      </c>
      <c r="C172" s="29"/>
      <c r="D172" s="30" t="s">
        <v>517</v>
      </c>
      <c r="E172" s="22"/>
      <c r="F172" s="55">
        <v>2997400</v>
      </c>
    </row>
    <row r="173" spans="1:6" s="92" customFormat="1" ht="23.25" x14ac:dyDescent="0.55000000000000004">
      <c r="A173" s="31"/>
      <c r="B173" s="37">
        <f>SUM(B157:B172)</f>
        <v>8089520.9000000004</v>
      </c>
      <c r="C173" s="823" t="s">
        <v>72</v>
      </c>
      <c r="D173" s="823"/>
      <c r="E173" s="56"/>
      <c r="F173" s="37">
        <f>SUM(F157:F172)</f>
        <v>5445307.5499999998</v>
      </c>
    </row>
    <row r="174" spans="1:6" s="92" customFormat="1" ht="23.25" x14ac:dyDescent="0.55000000000000004">
      <c r="A174" s="31"/>
      <c r="B174" s="57">
        <f>SUM(B173+B155)</f>
        <v>9931263.2599999998</v>
      </c>
      <c r="C174" s="824" t="s">
        <v>73</v>
      </c>
      <c r="D174" s="823"/>
      <c r="E174" s="56"/>
      <c r="F174" s="37">
        <f>SUM(F173+F155)</f>
        <v>6427435.0499999998</v>
      </c>
    </row>
    <row r="175" spans="1:6" s="92" customFormat="1" ht="23.25" x14ac:dyDescent="0.55000000000000004">
      <c r="A175" s="31"/>
      <c r="B175" s="37"/>
      <c r="C175" s="824" t="s">
        <v>74</v>
      </c>
      <c r="D175" s="823"/>
      <c r="E175" s="56"/>
      <c r="F175" s="37" t="s">
        <v>13</v>
      </c>
    </row>
    <row r="176" spans="1:6" s="92" customFormat="1" ht="23.25" x14ac:dyDescent="0.55000000000000004">
      <c r="A176" s="31"/>
      <c r="B176" s="58">
        <f>SUM(B133-B174)</f>
        <v>144617.91999999993</v>
      </c>
      <c r="C176" s="824" t="s">
        <v>75</v>
      </c>
      <c r="D176" s="823"/>
      <c r="E176" s="56"/>
      <c r="F176" s="59">
        <f>SUM(F133-F174)</f>
        <v>1258783.5199999996</v>
      </c>
    </row>
    <row r="177" spans="1:6" s="92" customFormat="1" ht="23.25" x14ac:dyDescent="0.55000000000000004">
      <c r="A177" s="31"/>
      <c r="B177" s="60">
        <f>SUM(B176+B97)</f>
        <v>13811597.23</v>
      </c>
      <c r="C177" s="824"/>
      <c r="D177" s="823"/>
      <c r="E177" s="56"/>
      <c r="F177" s="37">
        <f>SUM(F176+F97)</f>
        <v>13811597.23</v>
      </c>
    </row>
    <row r="178" spans="1:6" s="92" customFormat="1" ht="21.75" x14ac:dyDescent="0.5">
      <c r="A178" s="61"/>
      <c r="B178" s="61"/>
      <c r="C178" s="434"/>
      <c r="D178" s="434"/>
      <c r="E178" s="62"/>
      <c r="F178" s="63"/>
    </row>
    <row r="179" spans="1:6" s="826" customFormat="1" ht="18.75" x14ac:dyDescent="0.45">
      <c r="A179" s="825" t="s">
        <v>498</v>
      </c>
    </row>
    <row r="180" spans="1:6" s="99" customFormat="1" ht="18.75" x14ac:dyDescent="0.45">
      <c r="A180" s="436" t="s">
        <v>518</v>
      </c>
      <c r="B180" s="436"/>
      <c r="C180" s="436"/>
      <c r="D180" s="436"/>
      <c r="E180" s="436"/>
      <c r="F180" s="436"/>
    </row>
    <row r="181" spans="1:6" s="99" customFormat="1" ht="18.75" x14ac:dyDescent="0.45">
      <c r="A181" s="436" t="s">
        <v>519</v>
      </c>
      <c r="B181" s="436"/>
      <c r="C181" s="436"/>
      <c r="D181" s="436"/>
      <c r="E181" s="436"/>
      <c r="F181" s="436"/>
    </row>
    <row r="182" spans="1:6" s="92" customFormat="1" ht="18.75" x14ac:dyDescent="0.45">
      <c r="A182" s="436"/>
      <c r="B182" s="436"/>
      <c r="C182" s="436"/>
      <c r="D182" s="436" t="s">
        <v>520</v>
      </c>
      <c r="E182" s="436"/>
      <c r="F182" s="436"/>
    </row>
    <row r="189" spans="1:6" s="92" customFormat="1" ht="30.75" x14ac:dyDescent="0.7">
      <c r="A189" s="828" t="s">
        <v>2</v>
      </c>
      <c r="B189" s="828"/>
      <c r="C189" s="828"/>
      <c r="D189" s="828"/>
      <c r="E189" s="828"/>
      <c r="F189" s="828"/>
    </row>
    <row r="190" spans="1:6" s="92" customFormat="1" ht="24.75" thickBot="1" x14ac:dyDescent="0.6">
      <c r="A190" s="3" t="s">
        <v>3</v>
      </c>
      <c r="B190" s="3"/>
      <c r="C190" s="3"/>
      <c r="D190" s="4" t="s">
        <v>531</v>
      </c>
      <c r="E190" s="1"/>
      <c r="F190" s="3"/>
    </row>
    <row r="191" spans="1:6" s="92" customFormat="1" ht="22.5" thickTop="1" x14ac:dyDescent="0.5">
      <c r="A191" s="829" t="s">
        <v>4</v>
      </c>
      <c r="B191" s="830"/>
      <c r="C191" s="831"/>
      <c r="D191" s="832"/>
      <c r="E191" s="5"/>
      <c r="F191" s="6" t="s">
        <v>5</v>
      </c>
    </row>
    <row r="192" spans="1:6" s="92" customFormat="1" ht="21.75" x14ac:dyDescent="0.5">
      <c r="A192" s="7" t="s">
        <v>6</v>
      </c>
      <c r="B192" s="7" t="s">
        <v>7</v>
      </c>
      <c r="E192" s="8" t="s">
        <v>8</v>
      </c>
      <c r="F192" s="9" t="s">
        <v>7</v>
      </c>
    </row>
    <row r="193" spans="1:6" s="92" customFormat="1" ht="22.5" thickBot="1" x14ac:dyDescent="0.55000000000000004">
      <c r="A193" s="10" t="s">
        <v>9</v>
      </c>
      <c r="B193" s="443" t="s">
        <v>9</v>
      </c>
      <c r="C193" s="819" t="s">
        <v>10</v>
      </c>
      <c r="D193" s="820"/>
      <c r="E193" s="11" t="s">
        <v>11</v>
      </c>
      <c r="F193" s="10" t="s">
        <v>9</v>
      </c>
    </row>
    <row r="194" spans="1:6" s="92" customFormat="1" ht="24" thickTop="1" x14ac:dyDescent="0.55000000000000004">
      <c r="A194" s="12"/>
      <c r="B194" s="13">
        <v>13666979.310000001</v>
      </c>
      <c r="C194" s="14" t="s">
        <v>12</v>
      </c>
      <c r="D194" s="15"/>
      <c r="E194" s="16"/>
      <c r="F194" s="17">
        <v>13811597.23</v>
      </c>
    </row>
    <row r="195" spans="1:6" s="92" customFormat="1" ht="23.25" x14ac:dyDescent="0.55000000000000004">
      <c r="A195" s="18"/>
      <c r="B195" s="19" t="s">
        <v>13</v>
      </c>
      <c r="C195" s="20" t="s">
        <v>14</v>
      </c>
      <c r="D195" s="21"/>
      <c r="E195" s="22"/>
      <c r="F195" s="23"/>
    </row>
    <row r="196" spans="1:6" s="92" customFormat="1" ht="23.25" x14ac:dyDescent="0.55000000000000004">
      <c r="A196" s="23">
        <v>4070000</v>
      </c>
      <c r="B196" s="23">
        <f>24851.32+653.6</f>
        <v>25504.92</v>
      </c>
      <c r="C196" s="93"/>
      <c r="D196" s="19" t="s">
        <v>15</v>
      </c>
      <c r="E196" s="22" t="s">
        <v>16</v>
      </c>
      <c r="F196" s="23">
        <v>653.6</v>
      </c>
    </row>
    <row r="197" spans="1:6" s="92" customFormat="1" ht="23.25" x14ac:dyDescent="0.55000000000000004">
      <c r="A197" s="23">
        <v>83000</v>
      </c>
      <c r="B197" s="24">
        <f>562+814+839.2</f>
        <v>2215.1999999999998</v>
      </c>
      <c r="C197" s="93"/>
      <c r="D197" s="19" t="s">
        <v>17</v>
      </c>
      <c r="E197" s="22" t="s">
        <v>18</v>
      </c>
      <c r="F197" s="24">
        <v>839.2</v>
      </c>
    </row>
    <row r="198" spans="1:6" s="92" customFormat="1" ht="23.25" x14ac:dyDescent="0.55000000000000004">
      <c r="A198" s="23">
        <v>110000</v>
      </c>
      <c r="B198" s="24">
        <v>0</v>
      </c>
      <c r="C198" s="93"/>
      <c r="D198" s="19" t="s">
        <v>19</v>
      </c>
      <c r="E198" s="22" t="s">
        <v>20</v>
      </c>
      <c r="F198" s="24">
        <v>0</v>
      </c>
    </row>
    <row r="199" spans="1:6" s="92" customFormat="1" ht="23.25" x14ac:dyDescent="0.55000000000000004">
      <c r="A199" s="23">
        <v>1005000</v>
      </c>
      <c r="B199" s="24">
        <f>41413+41107+47949</f>
        <v>130469</v>
      </c>
      <c r="C199" s="93"/>
      <c r="D199" s="19" t="s">
        <v>21</v>
      </c>
      <c r="E199" s="22" t="s">
        <v>22</v>
      </c>
      <c r="F199" s="24">
        <v>47949</v>
      </c>
    </row>
    <row r="200" spans="1:6" s="92" customFormat="1" ht="23.25" x14ac:dyDescent="0.55000000000000004">
      <c r="A200" s="23">
        <v>90000</v>
      </c>
      <c r="B200" s="23">
        <f>3500+7200</f>
        <v>10700</v>
      </c>
      <c r="C200" s="93"/>
      <c r="D200" s="19" t="s">
        <v>23</v>
      </c>
      <c r="E200" s="22" t="s">
        <v>24</v>
      </c>
      <c r="F200" s="24">
        <v>7200</v>
      </c>
    </row>
    <row r="201" spans="1:6" s="92" customFormat="1" ht="23.25" x14ac:dyDescent="0.55000000000000004">
      <c r="A201" s="24">
        <v>2000</v>
      </c>
      <c r="B201" s="23">
        <v>0</v>
      </c>
      <c r="C201" s="93"/>
      <c r="D201" s="19" t="s">
        <v>106</v>
      </c>
      <c r="E201" s="22" t="s">
        <v>26</v>
      </c>
      <c r="F201" s="23"/>
    </row>
    <row r="202" spans="1:6" s="92" customFormat="1" ht="23.25" x14ac:dyDescent="0.55000000000000004">
      <c r="A202" s="23">
        <v>11890000</v>
      </c>
      <c r="B202" s="23">
        <f>956708.22+877096.73+606021.66</f>
        <v>2439826.61</v>
      </c>
      <c r="C202" s="19"/>
      <c r="D202" s="19" t="s">
        <v>107</v>
      </c>
      <c r="E202" s="22"/>
      <c r="F202" s="23">
        <v>606021.66</v>
      </c>
    </row>
    <row r="203" spans="1:6" s="92" customFormat="1" ht="23.25" x14ac:dyDescent="0.55000000000000004">
      <c r="A203" s="55">
        <v>4750000</v>
      </c>
      <c r="B203" s="17">
        <v>1357655</v>
      </c>
      <c r="C203" s="94"/>
      <c r="D203" s="26" t="s">
        <v>108</v>
      </c>
      <c r="E203" s="27"/>
      <c r="F203" s="17"/>
    </row>
    <row r="204" spans="1:6" s="92" customFormat="1" ht="24" thickBot="1" x14ac:dyDescent="0.6">
      <c r="A204" s="28">
        <f>SUM(A196:A203)</f>
        <v>22000000</v>
      </c>
      <c r="B204" s="28">
        <f>SUM(B196:B203)</f>
        <v>3966370.73</v>
      </c>
      <c r="C204" s="29"/>
      <c r="D204" s="30"/>
      <c r="E204" s="22"/>
      <c r="F204" s="28">
        <f>SUM(F196:F203)</f>
        <v>662663.46000000008</v>
      </c>
    </row>
    <row r="205" spans="1:6" s="92" customFormat="1" ht="24" thickTop="1" x14ac:dyDescent="0.55000000000000004">
      <c r="A205" s="13"/>
      <c r="B205" s="23">
        <v>0</v>
      </c>
      <c r="C205" s="65"/>
      <c r="D205" s="19" t="s">
        <v>27</v>
      </c>
      <c r="E205" s="22"/>
      <c r="F205" s="23">
        <v>0</v>
      </c>
    </row>
    <row r="206" spans="1:6" s="92" customFormat="1" ht="23.25" x14ac:dyDescent="0.55000000000000004">
      <c r="A206" s="13"/>
      <c r="B206" s="23">
        <v>0</v>
      </c>
      <c r="C206" s="29"/>
      <c r="D206" s="19" t="s">
        <v>28</v>
      </c>
      <c r="E206" s="22"/>
      <c r="F206" s="23">
        <v>0</v>
      </c>
    </row>
    <row r="207" spans="1:6" s="92" customFormat="1" ht="23.25" x14ac:dyDescent="0.55000000000000004">
      <c r="A207" s="13"/>
      <c r="B207" s="23">
        <f>187.15+394.25</f>
        <v>581.4</v>
      </c>
      <c r="C207" s="66"/>
      <c r="D207" s="19" t="s">
        <v>29</v>
      </c>
      <c r="E207" s="22"/>
      <c r="F207" s="23">
        <v>394.25</v>
      </c>
    </row>
    <row r="208" spans="1:6" s="92" customFormat="1" ht="23.25" x14ac:dyDescent="0.55000000000000004">
      <c r="A208" s="13"/>
      <c r="B208" s="23">
        <v>0</v>
      </c>
      <c r="C208" s="66"/>
      <c r="D208" s="19" t="s">
        <v>30</v>
      </c>
      <c r="E208" s="22"/>
      <c r="F208" s="23"/>
    </row>
    <row r="209" spans="1:6" s="92" customFormat="1" ht="23.25" x14ac:dyDescent="0.55000000000000004">
      <c r="A209" s="26"/>
      <c r="B209" s="23">
        <v>0</v>
      </c>
      <c r="C209" s="95"/>
      <c r="D209" s="19" t="s">
        <v>31</v>
      </c>
      <c r="E209" s="22" t="s">
        <v>32</v>
      </c>
      <c r="F209" s="23"/>
    </row>
    <row r="210" spans="1:6" s="92" customFormat="1" ht="23.25" x14ac:dyDescent="0.55000000000000004">
      <c r="A210" s="31"/>
      <c r="B210" s="23">
        <v>0</v>
      </c>
      <c r="C210" s="96"/>
      <c r="D210" s="19" t="s">
        <v>33</v>
      </c>
      <c r="E210" s="22" t="s">
        <v>34</v>
      </c>
      <c r="F210" s="23"/>
    </row>
    <row r="211" spans="1:6" s="92" customFormat="1" ht="23.25" x14ac:dyDescent="0.55000000000000004">
      <c r="A211" s="31"/>
      <c r="B211" s="23">
        <v>763200</v>
      </c>
      <c r="C211" s="96"/>
      <c r="D211" s="26" t="s">
        <v>35</v>
      </c>
      <c r="E211" s="22" t="s">
        <v>36</v>
      </c>
      <c r="F211" s="23"/>
    </row>
    <row r="212" spans="1:6" s="92" customFormat="1" ht="23.25" x14ac:dyDescent="0.55000000000000004">
      <c r="A212" s="31"/>
      <c r="B212" s="23">
        <f>77106.05+179271.55+39555.32+11940.5+55.15+5901.77+12864.5-45050</f>
        <v>281644.84000000003</v>
      </c>
      <c r="C212" s="96"/>
      <c r="D212" s="19" t="s">
        <v>37</v>
      </c>
      <c r="E212" s="27" t="s">
        <v>38</v>
      </c>
      <c r="F212" s="23">
        <f>55.15+5901.77+12864.5</f>
        <v>18821.419999999998</v>
      </c>
    </row>
    <row r="213" spans="1:6" s="92" customFormat="1" ht="23.25" x14ac:dyDescent="0.55000000000000004">
      <c r="A213" s="31"/>
      <c r="B213" s="23"/>
      <c r="C213" s="96"/>
      <c r="D213" s="19" t="s">
        <v>512</v>
      </c>
      <c r="E213" s="22" t="s">
        <v>39</v>
      </c>
      <c r="F213" s="23"/>
    </row>
    <row r="214" spans="1:6" s="92" customFormat="1" ht="23.25" x14ac:dyDescent="0.55000000000000004">
      <c r="A214" s="31"/>
      <c r="B214" s="23"/>
      <c r="C214" s="96"/>
      <c r="D214" s="19" t="s">
        <v>513</v>
      </c>
      <c r="E214" s="32"/>
      <c r="F214" s="23"/>
    </row>
    <row r="215" spans="1:6" s="92" customFormat="1" ht="23.25" x14ac:dyDescent="0.55000000000000004">
      <c r="A215" s="31"/>
      <c r="B215" s="23">
        <f>21800+186690</f>
        <v>208490</v>
      </c>
      <c r="C215" s="96"/>
      <c r="D215" s="33" t="s">
        <v>514</v>
      </c>
      <c r="E215" s="32"/>
      <c r="F215" s="23"/>
    </row>
    <row r="216" spans="1:6" s="92" customFormat="1" ht="23.25" x14ac:dyDescent="0.55000000000000004">
      <c r="A216" s="31"/>
      <c r="B216" s="23">
        <f>1090+3420</f>
        <v>4510</v>
      </c>
      <c r="C216" s="96"/>
      <c r="D216" s="33" t="s">
        <v>515</v>
      </c>
      <c r="E216" s="32"/>
      <c r="F216" s="23"/>
    </row>
    <row r="217" spans="1:6" s="92" customFormat="1" ht="23.25" x14ac:dyDescent="0.55000000000000004">
      <c r="A217" s="31"/>
      <c r="B217" s="23"/>
      <c r="C217" s="96"/>
      <c r="D217" s="33" t="s">
        <v>40</v>
      </c>
      <c r="E217" s="34"/>
      <c r="F217" s="23"/>
    </row>
    <row r="218" spans="1:6" s="92" customFormat="1" ht="23.25" x14ac:dyDescent="0.55000000000000004">
      <c r="A218" s="31"/>
      <c r="B218" s="23">
        <f>1284600+2997400</f>
        <v>4282000</v>
      </c>
      <c r="C218" s="93"/>
      <c r="D218" s="33" t="s">
        <v>527</v>
      </c>
      <c r="E218" s="22"/>
      <c r="F218" s="23"/>
    </row>
    <row r="219" spans="1:6" s="92" customFormat="1" ht="23.25" x14ac:dyDescent="0.55000000000000004">
      <c r="A219" s="31"/>
      <c r="B219" s="23">
        <f>6383.34+169</f>
        <v>6552.34</v>
      </c>
      <c r="C219" s="96"/>
      <c r="D219" s="438" t="s">
        <v>42</v>
      </c>
      <c r="E219" s="22"/>
      <c r="F219" s="23">
        <v>169</v>
      </c>
    </row>
    <row r="220" spans="1:6" s="92" customFormat="1" ht="23.25" x14ac:dyDescent="0.55000000000000004">
      <c r="A220" s="31"/>
      <c r="B220" s="23">
        <v>50400</v>
      </c>
      <c r="C220" s="96"/>
      <c r="D220" s="438" t="s">
        <v>524</v>
      </c>
      <c r="E220" s="22"/>
      <c r="F220" s="23"/>
    </row>
    <row r="221" spans="1:6" s="92" customFormat="1" ht="23.25" x14ac:dyDescent="0.55000000000000004">
      <c r="A221" s="31"/>
      <c r="B221" s="23">
        <v>1011900</v>
      </c>
      <c r="C221" s="96"/>
      <c r="D221" s="438" t="s">
        <v>525</v>
      </c>
      <c r="E221" s="22"/>
      <c r="F221" s="23"/>
    </row>
    <row r="222" spans="1:6" s="92" customFormat="1" ht="23.25" x14ac:dyDescent="0.55000000000000004">
      <c r="A222" s="31"/>
      <c r="B222" s="23">
        <v>136800</v>
      </c>
      <c r="C222" s="96"/>
      <c r="D222" s="438" t="s">
        <v>526</v>
      </c>
      <c r="E222" s="22"/>
      <c r="F222" s="23"/>
    </row>
    <row r="223" spans="1:6" s="92" customFormat="1" ht="23.25" x14ac:dyDescent="0.55000000000000004">
      <c r="A223" s="31"/>
      <c r="B223" s="23">
        <v>430</v>
      </c>
      <c r="C223" s="96"/>
      <c r="D223" s="438" t="s">
        <v>528</v>
      </c>
      <c r="E223" s="22"/>
      <c r="F223" s="23"/>
    </row>
    <row r="224" spans="1:6" s="92" customFormat="1" ht="23.25" x14ac:dyDescent="0.55000000000000004">
      <c r="A224" s="31"/>
      <c r="B224" s="23">
        <f>393350+45050</f>
        <v>438400</v>
      </c>
      <c r="C224" s="96"/>
      <c r="D224" s="438" t="s">
        <v>532</v>
      </c>
      <c r="E224" s="22"/>
      <c r="F224" s="23">
        <v>393350</v>
      </c>
    </row>
    <row r="225" spans="1:6" s="92" customFormat="1" ht="23.25" x14ac:dyDescent="0.55000000000000004">
      <c r="A225" s="31"/>
      <c r="B225" s="23">
        <v>82.43</v>
      </c>
      <c r="C225" s="437"/>
      <c r="D225" s="438" t="s">
        <v>533</v>
      </c>
      <c r="E225" s="22"/>
      <c r="F225" s="23">
        <v>82.43</v>
      </c>
    </row>
    <row r="226" spans="1:6" s="92" customFormat="1" ht="23.25" x14ac:dyDescent="0.55000000000000004">
      <c r="A226" s="31"/>
      <c r="B226" s="23">
        <v>2250</v>
      </c>
      <c r="C226" s="93"/>
      <c r="D226" s="19" t="s">
        <v>534</v>
      </c>
      <c r="E226" s="22"/>
      <c r="F226" s="23">
        <v>2250</v>
      </c>
    </row>
    <row r="227" spans="1:6" s="92" customFormat="1" ht="23.25" x14ac:dyDescent="0.55000000000000004">
      <c r="A227" s="31"/>
      <c r="B227" s="23">
        <v>0</v>
      </c>
      <c r="C227" s="383"/>
      <c r="D227" s="19"/>
      <c r="E227" s="384"/>
      <c r="F227" s="23">
        <v>0</v>
      </c>
    </row>
    <row r="228" spans="1:6" s="92" customFormat="1" ht="23.25" x14ac:dyDescent="0.55000000000000004">
      <c r="A228" s="31"/>
      <c r="B228" s="23">
        <v>0</v>
      </c>
      <c r="C228" s="96"/>
      <c r="D228" s="30"/>
      <c r="E228" s="22"/>
      <c r="F228" s="23">
        <v>0</v>
      </c>
    </row>
    <row r="229" spans="1:6" s="92" customFormat="1" ht="23.25" x14ac:dyDescent="0.55000000000000004">
      <c r="A229" s="31"/>
      <c r="B229" s="35">
        <f>SUM(B205:B228)</f>
        <v>7187241.0099999998</v>
      </c>
      <c r="C229" s="824" t="s">
        <v>43</v>
      </c>
      <c r="D229" s="823"/>
      <c r="E229" s="56"/>
      <c r="F229" s="25">
        <f>SUM(F205:F228)</f>
        <v>415067.1</v>
      </c>
    </row>
    <row r="230" spans="1:6" s="92" customFormat="1" ht="23.25" x14ac:dyDescent="0.55000000000000004">
      <c r="A230" s="31"/>
      <c r="B230" s="36">
        <f>SUM(B229+B204)</f>
        <v>11153611.74</v>
      </c>
      <c r="C230" s="440"/>
      <c r="D230" s="440"/>
      <c r="E230" s="56"/>
      <c r="F230" s="37">
        <f>SUM(F229+F204)</f>
        <v>1077730.56</v>
      </c>
    </row>
    <row r="231" spans="1:6" s="92" customFormat="1" ht="24" x14ac:dyDescent="0.55000000000000004">
      <c r="A231" s="38"/>
      <c r="B231" s="39"/>
      <c r="C231" s="40"/>
      <c r="D231" s="40"/>
      <c r="E231" s="41"/>
      <c r="F231" s="42"/>
    </row>
    <row r="232" spans="1:6" s="92" customFormat="1" ht="24" x14ac:dyDescent="0.55000000000000004">
      <c r="A232" s="38"/>
      <c r="B232" s="39"/>
      <c r="C232" s="40"/>
      <c r="D232" s="40"/>
      <c r="E232" s="41"/>
      <c r="F232" s="42"/>
    </row>
    <row r="233" spans="1:6" s="92" customFormat="1" ht="24" x14ac:dyDescent="0.55000000000000004">
      <c r="A233" s="38"/>
      <c r="B233" s="39"/>
      <c r="C233" s="40"/>
      <c r="D233" s="40"/>
      <c r="E233" s="41"/>
      <c r="F233" s="42"/>
    </row>
    <row r="234" spans="1:6" s="92" customFormat="1" ht="24" x14ac:dyDescent="0.55000000000000004">
      <c r="A234" s="38"/>
      <c r="B234" s="39"/>
      <c r="C234" s="40"/>
      <c r="D234" s="40"/>
      <c r="E234" s="41"/>
      <c r="F234" s="42"/>
    </row>
    <row r="235" spans="1:6" s="92" customFormat="1" ht="24.75" thickBot="1" x14ac:dyDescent="0.6">
      <c r="A235" s="38"/>
      <c r="B235" s="39"/>
      <c r="C235" s="40"/>
      <c r="D235" s="40"/>
      <c r="E235" s="41"/>
      <c r="F235" s="42"/>
    </row>
    <row r="236" spans="1:6" s="92" customFormat="1" ht="22.5" thickTop="1" x14ac:dyDescent="0.5">
      <c r="A236" s="829" t="s">
        <v>4</v>
      </c>
      <c r="B236" s="830"/>
      <c r="C236" s="831"/>
      <c r="D236" s="832"/>
      <c r="E236" s="5"/>
      <c r="F236" s="6" t="s">
        <v>5</v>
      </c>
    </row>
    <row r="237" spans="1:6" s="92" customFormat="1" ht="21.75" x14ac:dyDescent="0.5">
      <c r="A237" s="7" t="s">
        <v>6</v>
      </c>
      <c r="B237" s="442" t="s">
        <v>7</v>
      </c>
      <c r="C237" s="819" t="s">
        <v>10</v>
      </c>
      <c r="D237" s="820"/>
      <c r="E237" s="8" t="s">
        <v>8</v>
      </c>
      <c r="F237" s="9" t="s">
        <v>7</v>
      </c>
    </row>
    <row r="238" spans="1:6" s="92" customFormat="1" ht="22.5" thickBot="1" x14ac:dyDescent="0.55000000000000004">
      <c r="A238" s="10" t="s">
        <v>9</v>
      </c>
      <c r="B238" s="443" t="s">
        <v>9</v>
      </c>
      <c r="C238" s="821"/>
      <c r="D238" s="822"/>
      <c r="E238" s="11" t="s">
        <v>11</v>
      </c>
      <c r="F238" s="10" t="s">
        <v>9</v>
      </c>
    </row>
    <row r="239" spans="1:6" s="92" customFormat="1" ht="24" thickTop="1" x14ac:dyDescent="0.55000000000000004">
      <c r="A239" s="43"/>
      <c r="B239" s="13"/>
      <c r="C239" s="44" t="s">
        <v>44</v>
      </c>
      <c r="D239" s="15"/>
      <c r="E239" s="16"/>
      <c r="F239" s="17"/>
    </row>
    <row r="240" spans="1:6" s="92" customFormat="1" ht="23.25" x14ac:dyDescent="0.55000000000000004">
      <c r="A240" s="23">
        <v>1536160</v>
      </c>
      <c r="B240" s="24">
        <f>2500+13795.5+24813</f>
        <v>41108.5</v>
      </c>
      <c r="C240" s="20"/>
      <c r="D240" s="30" t="s">
        <v>41</v>
      </c>
      <c r="E240" s="22" t="s">
        <v>45</v>
      </c>
      <c r="F240" s="23">
        <v>24813</v>
      </c>
    </row>
    <row r="241" spans="1:6" s="92" customFormat="1" ht="23.25" x14ac:dyDescent="0.55000000000000004">
      <c r="A241" s="97">
        <v>2624640</v>
      </c>
      <c r="B241" s="24">
        <f>218720+218720+218720</f>
        <v>656160</v>
      </c>
      <c r="C241" s="29"/>
      <c r="D241" s="30" t="s">
        <v>46</v>
      </c>
      <c r="E241" s="22" t="s">
        <v>47</v>
      </c>
      <c r="F241" s="23">
        <v>218720</v>
      </c>
    </row>
    <row r="242" spans="1:6" s="92" customFormat="1" ht="23.25" x14ac:dyDescent="0.55000000000000004">
      <c r="A242" s="98">
        <f>4541000+35000+1527000</f>
        <v>6103000</v>
      </c>
      <c r="B242" s="24">
        <f>393371.37+452770+451790</f>
        <v>1297931.3700000001</v>
      </c>
      <c r="C242" s="29"/>
      <c r="D242" s="30" t="s">
        <v>48</v>
      </c>
      <c r="E242" s="22" t="s">
        <v>47</v>
      </c>
      <c r="F242" s="24">
        <v>451790</v>
      </c>
    </row>
    <row r="243" spans="1:6" s="92" customFormat="1" ht="23.25" x14ac:dyDescent="0.55000000000000004">
      <c r="A243" s="23">
        <f>110000+10000+76000</f>
        <v>196000</v>
      </c>
      <c r="B243" s="24">
        <f>3500+22700+18020</f>
        <v>44220</v>
      </c>
      <c r="C243" s="29"/>
      <c r="D243" s="30" t="s">
        <v>49</v>
      </c>
      <c r="E243" s="22" t="s">
        <v>47</v>
      </c>
      <c r="F243" s="23">
        <v>18020</v>
      </c>
    </row>
    <row r="244" spans="1:6" s="92" customFormat="1" ht="23.25" x14ac:dyDescent="0.55000000000000004">
      <c r="A244" s="23">
        <f>399000+210000+450000+100000+20000+80000+110000+880000+10000+100000</f>
        <v>2359000</v>
      </c>
      <c r="B244" s="24">
        <f>126305+47540+157877</f>
        <v>331722</v>
      </c>
      <c r="C244" s="29"/>
      <c r="D244" s="30" t="s">
        <v>50</v>
      </c>
      <c r="E244" s="22" t="s">
        <v>51</v>
      </c>
      <c r="F244" s="23">
        <v>157877</v>
      </c>
    </row>
    <row r="245" spans="1:6" s="92" customFormat="1" ht="23.25" x14ac:dyDescent="0.55000000000000004">
      <c r="A245" s="23">
        <f>374000+55000+510000+20000+300000+10000+400000</f>
        <v>1669000</v>
      </c>
      <c r="B245" s="23">
        <f>8670+35781</f>
        <v>44451</v>
      </c>
      <c r="C245" s="29"/>
      <c r="D245" s="30" t="s">
        <v>52</v>
      </c>
      <c r="E245" s="22" t="s">
        <v>53</v>
      </c>
      <c r="F245" s="23">
        <v>35781</v>
      </c>
    </row>
    <row r="246" spans="1:6" s="92" customFormat="1" ht="23.25" x14ac:dyDescent="0.55000000000000004">
      <c r="A246" s="23">
        <f>271000+1100000</f>
        <v>1371000</v>
      </c>
      <c r="B246" s="24">
        <f>115218.49+932+105203.83</f>
        <v>221354.32</v>
      </c>
      <c r="C246" s="29"/>
      <c r="D246" s="30" t="s">
        <v>54</v>
      </c>
      <c r="E246" s="22" t="s">
        <v>55</v>
      </c>
      <c r="F246" s="24">
        <v>105203.83</v>
      </c>
    </row>
    <row r="247" spans="1:6" s="92" customFormat="1" ht="23.25" x14ac:dyDescent="0.55000000000000004">
      <c r="A247" s="23">
        <f>740000+105000+20000</f>
        <v>865000</v>
      </c>
      <c r="B247" s="24">
        <v>217000</v>
      </c>
      <c r="C247" s="29"/>
      <c r="D247" s="30" t="s">
        <v>25</v>
      </c>
      <c r="E247" s="22" t="s">
        <v>56</v>
      </c>
      <c r="F247" s="24"/>
    </row>
    <row r="248" spans="1:6" s="92" customFormat="1" ht="23.25" x14ac:dyDescent="0.55000000000000004">
      <c r="A248" s="23">
        <f>208100+100000+9600+256000</f>
        <v>573700</v>
      </c>
      <c r="B248" s="24">
        <v>0</v>
      </c>
      <c r="C248" s="29"/>
      <c r="D248" s="30" t="s">
        <v>57</v>
      </c>
      <c r="E248" s="22" t="s">
        <v>58</v>
      </c>
      <c r="F248" s="24">
        <v>0</v>
      </c>
    </row>
    <row r="249" spans="1:6" s="92" customFormat="1" ht="23.25" x14ac:dyDescent="0.55000000000000004">
      <c r="A249" s="24">
        <v>4682500</v>
      </c>
      <c r="B249" s="24">
        <v>0</v>
      </c>
      <c r="C249" s="29"/>
      <c r="D249" s="30" t="s">
        <v>59</v>
      </c>
      <c r="E249" s="22" t="s">
        <v>60</v>
      </c>
      <c r="F249" s="24">
        <v>0</v>
      </c>
    </row>
    <row r="250" spans="1:6" s="92" customFormat="1" ht="23.25" x14ac:dyDescent="0.55000000000000004">
      <c r="A250" s="23">
        <v>20000</v>
      </c>
      <c r="B250" s="23">
        <v>0</v>
      </c>
      <c r="C250" s="29"/>
      <c r="D250" s="30" t="s">
        <v>61</v>
      </c>
      <c r="E250" s="22" t="s">
        <v>62</v>
      </c>
      <c r="F250" s="23">
        <v>0</v>
      </c>
    </row>
    <row r="251" spans="1:6" s="92" customFormat="1" ht="23.25" x14ac:dyDescent="0.55000000000000004">
      <c r="A251" s="17"/>
      <c r="B251" s="17"/>
      <c r="C251" s="29"/>
      <c r="D251" s="31"/>
      <c r="E251" s="27"/>
      <c r="F251" s="17">
        <v>0</v>
      </c>
    </row>
    <row r="252" spans="1:6" s="92" customFormat="1" ht="24" thickBot="1" x14ac:dyDescent="0.6">
      <c r="A252" s="28">
        <f>SUM(A240:A251)</f>
        <v>22000000</v>
      </c>
      <c r="B252" s="28">
        <f>SUM(B240:B251)</f>
        <v>2853947.19</v>
      </c>
      <c r="C252" s="45"/>
      <c r="D252" s="46" t="s">
        <v>13</v>
      </c>
      <c r="E252" s="28" t="s">
        <v>13</v>
      </c>
      <c r="F252" s="28">
        <f>SUM(F240:F251)</f>
        <v>1012204.83</v>
      </c>
    </row>
    <row r="253" spans="1:6" s="92" customFormat="1" ht="24" thickTop="1" x14ac:dyDescent="0.55000000000000004">
      <c r="A253" s="416"/>
      <c r="B253" s="47"/>
      <c r="C253" s="48"/>
      <c r="D253" s="49"/>
      <c r="E253" s="50"/>
      <c r="F253" s="50"/>
    </row>
    <row r="254" spans="1:6" s="92" customFormat="1" ht="23.25" x14ac:dyDescent="0.55000000000000004">
      <c r="A254" s="23"/>
      <c r="B254" s="24">
        <v>0</v>
      </c>
      <c r="C254" s="20"/>
      <c r="D254" s="30" t="s">
        <v>321</v>
      </c>
      <c r="E254" s="22"/>
      <c r="F254" s="23">
        <v>0</v>
      </c>
    </row>
    <row r="255" spans="1:6" s="92" customFormat="1" ht="23.25" x14ac:dyDescent="0.55000000000000004">
      <c r="A255" s="23"/>
      <c r="B255" s="24">
        <f>672000+334100</f>
        <v>1006100</v>
      </c>
      <c r="C255" s="20"/>
      <c r="D255" s="30" t="s">
        <v>63</v>
      </c>
      <c r="E255" s="22"/>
      <c r="F255" s="23">
        <v>334100</v>
      </c>
    </row>
    <row r="256" spans="1:6" s="92" customFormat="1" ht="23.25" x14ac:dyDescent="0.55000000000000004">
      <c r="A256" s="23"/>
      <c r="B256" s="24">
        <f>91200+45600</f>
        <v>136800</v>
      </c>
      <c r="C256" s="20"/>
      <c r="D256" s="30" t="s">
        <v>64</v>
      </c>
      <c r="E256" s="22"/>
      <c r="F256" s="23">
        <v>45600</v>
      </c>
    </row>
    <row r="257" spans="1:6" s="92" customFormat="1" ht="23.25" x14ac:dyDescent="0.55000000000000004">
      <c r="A257" s="24"/>
      <c r="B257" s="24"/>
      <c r="C257" s="29"/>
      <c r="D257" s="30" t="s">
        <v>65</v>
      </c>
      <c r="E257" s="22"/>
      <c r="F257" s="24"/>
    </row>
    <row r="258" spans="1:6" s="92" customFormat="1" ht="23.25" x14ac:dyDescent="0.55000000000000004">
      <c r="A258" s="17"/>
      <c r="B258" s="45">
        <f>443000+458000</f>
        <v>901000</v>
      </c>
      <c r="C258" s="45"/>
      <c r="D258" s="46" t="s">
        <v>33</v>
      </c>
      <c r="E258" s="23"/>
      <c r="F258" s="23">
        <v>458000</v>
      </c>
    </row>
    <row r="259" spans="1:6" s="92" customFormat="1" ht="23.25" x14ac:dyDescent="0.55000000000000004">
      <c r="A259" s="31"/>
      <c r="B259" s="51">
        <f>961000+760000</f>
        <v>1721000</v>
      </c>
      <c r="C259" s="29"/>
      <c r="D259" s="30" t="s">
        <v>67</v>
      </c>
      <c r="E259" s="22" t="s">
        <v>68</v>
      </c>
      <c r="F259" s="23"/>
    </row>
    <row r="260" spans="1:6" s="92" customFormat="1" ht="23.25" x14ac:dyDescent="0.55000000000000004">
      <c r="A260" s="31"/>
      <c r="B260" s="51">
        <v>330000</v>
      </c>
      <c r="C260" s="29"/>
      <c r="D260" s="31" t="s">
        <v>66</v>
      </c>
      <c r="E260" s="27" t="s">
        <v>32</v>
      </c>
      <c r="F260" s="17">
        <v>330000</v>
      </c>
    </row>
    <row r="261" spans="1:6" s="92" customFormat="1" ht="23.25" x14ac:dyDescent="0.55000000000000004">
      <c r="A261" s="31"/>
      <c r="B261" s="51">
        <f>382100+381100</f>
        <v>763200</v>
      </c>
      <c r="C261" s="29"/>
      <c r="D261" s="30" t="s">
        <v>69</v>
      </c>
      <c r="E261" s="22" t="s">
        <v>36</v>
      </c>
      <c r="F261" s="24"/>
    </row>
    <row r="262" spans="1:6" s="92" customFormat="1" ht="23.25" x14ac:dyDescent="0.55000000000000004">
      <c r="A262" s="31"/>
      <c r="B262" s="51">
        <f>16513.35+21992.05+39555.32</f>
        <v>78060.72</v>
      </c>
      <c r="C262" s="29"/>
      <c r="D262" s="30" t="s">
        <v>70</v>
      </c>
      <c r="E262" s="22" t="s">
        <v>38</v>
      </c>
      <c r="F262" s="24">
        <v>39555.32</v>
      </c>
    </row>
    <row r="263" spans="1:6" s="92" customFormat="1" ht="23.25" x14ac:dyDescent="0.55000000000000004">
      <c r="A263" s="31"/>
      <c r="B263" s="23">
        <f>11295.5+10709</f>
        <v>22004.5</v>
      </c>
      <c r="C263" s="19"/>
      <c r="D263" s="30" t="s">
        <v>493</v>
      </c>
      <c r="E263" s="53"/>
      <c r="F263" s="24">
        <v>10709</v>
      </c>
    </row>
    <row r="264" spans="1:6" s="92" customFormat="1" ht="23.25" x14ac:dyDescent="0.55000000000000004">
      <c r="A264" s="31"/>
      <c r="B264" s="24"/>
      <c r="C264" s="19"/>
      <c r="D264" s="52" t="s">
        <v>105</v>
      </c>
      <c r="E264" s="53"/>
      <c r="F264" s="24"/>
    </row>
    <row r="265" spans="1:6" s="92" customFormat="1" ht="23.25" x14ac:dyDescent="0.55000000000000004">
      <c r="A265" s="31"/>
      <c r="B265" s="24"/>
      <c r="C265" s="19"/>
      <c r="D265" s="30" t="s">
        <v>71</v>
      </c>
      <c r="E265" s="22"/>
      <c r="F265" s="24"/>
    </row>
    <row r="266" spans="1:6" s="92" customFormat="1" ht="23.25" x14ac:dyDescent="0.55000000000000004">
      <c r="A266" s="31"/>
      <c r="B266" s="24">
        <v>0</v>
      </c>
      <c r="C266" s="29"/>
      <c r="D266" s="30" t="s">
        <v>42</v>
      </c>
      <c r="E266" s="22"/>
      <c r="F266" s="24"/>
    </row>
    <row r="267" spans="1:6" s="92" customFormat="1" ht="23.25" x14ac:dyDescent="0.55000000000000004">
      <c r="A267" s="31"/>
      <c r="B267" s="98">
        <v>61820</v>
      </c>
      <c r="C267" s="394"/>
      <c r="D267" s="30" t="s">
        <v>494</v>
      </c>
      <c r="E267" s="384"/>
      <c r="F267" s="98"/>
    </row>
    <row r="268" spans="1:6" s="92" customFormat="1" ht="24" x14ac:dyDescent="0.55000000000000004">
      <c r="A268" s="31"/>
      <c r="B268" s="24">
        <f>5500+8600</f>
        <v>14100</v>
      </c>
      <c r="C268" s="29"/>
      <c r="D268" s="439" t="s">
        <v>529</v>
      </c>
      <c r="E268" s="22"/>
      <c r="F268" s="24">
        <v>8600</v>
      </c>
    </row>
    <row r="269" spans="1:6" s="92" customFormat="1" ht="24" x14ac:dyDescent="0.55000000000000004">
      <c r="A269" s="31"/>
      <c r="B269" s="24">
        <v>179250</v>
      </c>
      <c r="C269" s="29"/>
      <c r="D269" s="439" t="s">
        <v>535</v>
      </c>
      <c r="E269" s="22"/>
      <c r="F269" s="24">
        <v>179250</v>
      </c>
    </row>
    <row r="270" spans="1:6" s="92" customFormat="1" ht="23.25" x14ac:dyDescent="0.55000000000000004">
      <c r="A270" s="31"/>
      <c r="B270" s="54">
        <f>1284600+2997400</f>
        <v>4282000</v>
      </c>
      <c r="C270" s="29"/>
      <c r="D270" s="30" t="s">
        <v>517</v>
      </c>
      <c r="E270" s="22"/>
      <c r="F270" s="55"/>
    </row>
    <row r="271" spans="1:6" s="92" customFormat="1" ht="23.25" x14ac:dyDescent="0.55000000000000004">
      <c r="A271" s="31"/>
      <c r="B271" s="37">
        <f>SUM(B254:B270)</f>
        <v>9495335.2199999988</v>
      </c>
      <c r="C271" s="823" t="s">
        <v>72</v>
      </c>
      <c r="D271" s="823"/>
      <c r="E271" s="56"/>
      <c r="F271" s="37">
        <f>SUM(F254:F270)</f>
        <v>1405814.32</v>
      </c>
    </row>
    <row r="272" spans="1:6" s="92" customFormat="1" ht="23.25" x14ac:dyDescent="0.55000000000000004">
      <c r="A272" s="31"/>
      <c r="B272" s="57">
        <f>SUM(B271+B252)</f>
        <v>12349282.409999998</v>
      </c>
      <c r="C272" s="824" t="s">
        <v>73</v>
      </c>
      <c r="D272" s="823"/>
      <c r="E272" s="56"/>
      <c r="F272" s="37">
        <f>SUM(F271+F252)</f>
        <v>2418019.15</v>
      </c>
    </row>
    <row r="273" spans="1:6" s="92" customFormat="1" ht="23.25" x14ac:dyDescent="0.55000000000000004">
      <c r="A273" s="31"/>
      <c r="B273" s="37"/>
      <c r="C273" s="824" t="s">
        <v>74</v>
      </c>
      <c r="D273" s="823"/>
      <c r="E273" s="56"/>
      <c r="F273" s="37" t="s">
        <v>13</v>
      </c>
    </row>
    <row r="274" spans="1:6" s="92" customFormat="1" ht="23.25" x14ac:dyDescent="0.55000000000000004">
      <c r="A274" s="31"/>
      <c r="B274" s="58">
        <f>SUM(B230-B272)</f>
        <v>-1195670.6699999981</v>
      </c>
      <c r="C274" s="824" t="s">
        <v>75</v>
      </c>
      <c r="D274" s="823"/>
      <c r="E274" s="56"/>
      <c r="F274" s="59">
        <f>SUM(F230-F272)</f>
        <v>-1340288.5899999999</v>
      </c>
    </row>
    <row r="275" spans="1:6" s="92" customFormat="1" ht="23.25" x14ac:dyDescent="0.55000000000000004">
      <c r="A275" s="31"/>
      <c r="B275" s="60">
        <f>SUM(B274+B194)</f>
        <v>12471308.640000002</v>
      </c>
      <c r="C275" s="824"/>
      <c r="D275" s="823"/>
      <c r="E275" s="56"/>
      <c r="F275" s="37">
        <f>SUM(F274+F194)</f>
        <v>12471308.640000001</v>
      </c>
    </row>
    <row r="276" spans="1:6" s="92" customFormat="1" ht="21.75" x14ac:dyDescent="0.5">
      <c r="A276" s="61"/>
      <c r="B276" s="61"/>
      <c r="C276" s="442"/>
      <c r="D276" s="442"/>
      <c r="E276" s="62"/>
      <c r="F276" s="63"/>
    </row>
    <row r="277" spans="1:6" s="826" customFormat="1" ht="18.75" x14ac:dyDescent="0.45">
      <c r="A277" s="825" t="s">
        <v>498</v>
      </c>
    </row>
    <row r="278" spans="1:6" s="99" customFormat="1" ht="18.75" x14ac:dyDescent="0.45">
      <c r="A278" s="441" t="s">
        <v>518</v>
      </c>
      <c r="B278" s="441"/>
      <c r="C278" s="441"/>
      <c r="D278" s="441"/>
      <c r="E278" s="441"/>
      <c r="F278" s="441"/>
    </row>
    <row r="279" spans="1:6" s="99" customFormat="1" ht="18.75" x14ac:dyDescent="0.45">
      <c r="A279" s="441" t="s">
        <v>519</v>
      </c>
      <c r="B279" s="441"/>
      <c r="C279" s="441"/>
      <c r="D279" s="441"/>
      <c r="E279" s="441"/>
      <c r="F279" s="441"/>
    </row>
    <row r="280" spans="1:6" s="92" customFormat="1" ht="18.75" x14ac:dyDescent="0.45">
      <c r="A280" s="441"/>
      <c r="B280" s="441"/>
      <c r="C280" s="441"/>
      <c r="D280" s="441" t="s">
        <v>520</v>
      </c>
      <c r="E280" s="441"/>
      <c r="F280" s="441"/>
    </row>
    <row r="287" spans="1:6" s="92" customFormat="1" ht="30.75" x14ac:dyDescent="0.7">
      <c r="A287" s="828" t="s">
        <v>2</v>
      </c>
      <c r="B287" s="828"/>
      <c r="C287" s="828"/>
      <c r="D287" s="828"/>
      <c r="E287" s="828"/>
      <c r="F287" s="828"/>
    </row>
    <row r="288" spans="1:6" s="92" customFormat="1" ht="24.75" thickBot="1" x14ac:dyDescent="0.6">
      <c r="A288" s="3" t="s">
        <v>3</v>
      </c>
      <c r="B288" s="3"/>
      <c r="C288" s="3"/>
      <c r="D288" s="4" t="s">
        <v>537</v>
      </c>
      <c r="E288" s="1"/>
      <c r="F288" s="3"/>
    </row>
    <row r="289" spans="1:6" s="92" customFormat="1" ht="22.5" thickTop="1" x14ac:dyDescent="0.5">
      <c r="A289" s="829" t="s">
        <v>4</v>
      </c>
      <c r="B289" s="830"/>
      <c r="C289" s="831"/>
      <c r="D289" s="832"/>
      <c r="E289" s="5"/>
      <c r="F289" s="6" t="s">
        <v>5</v>
      </c>
    </row>
    <row r="290" spans="1:6" s="92" customFormat="1" ht="21.75" x14ac:dyDescent="0.5">
      <c r="A290" s="7" t="s">
        <v>6</v>
      </c>
      <c r="B290" s="7" t="s">
        <v>7</v>
      </c>
      <c r="E290" s="8" t="s">
        <v>8</v>
      </c>
      <c r="F290" s="9" t="s">
        <v>7</v>
      </c>
    </row>
    <row r="291" spans="1:6" s="92" customFormat="1" ht="22.5" thickBot="1" x14ac:dyDescent="0.55000000000000004">
      <c r="A291" s="10" t="s">
        <v>9</v>
      </c>
      <c r="B291" s="450" t="s">
        <v>9</v>
      </c>
      <c r="C291" s="819" t="s">
        <v>10</v>
      </c>
      <c r="D291" s="820"/>
      <c r="E291" s="11" t="s">
        <v>11</v>
      </c>
      <c r="F291" s="10" t="s">
        <v>9</v>
      </c>
    </row>
    <row r="292" spans="1:6" s="92" customFormat="1" ht="24" thickTop="1" x14ac:dyDescent="0.55000000000000004">
      <c r="A292" s="12"/>
      <c r="B292" s="13">
        <v>13666979.310000001</v>
      </c>
      <c r="C292" s="14" t="s">
        <v>12</v>
      </c>
      <c r="D292" s="15"/>
      <c r="E292" s="16"/>
      <c r="F292" s="17">
        <v>12471308.640000001</v>
      </c>
    </row>
    <row r="293" spans="1:6" s="92" customFormat="1" ht="23.25" x14ac:dyDescent="0.55000000000000004">
      <c r="A293" s="18"/>
      <c r="B293" s="19" t="s">
        <v>13</v>
      </c>
      <c r="C293" s="20" t="s">
        <v>14</v>
      </c>
      <c r="D293" s="21"/>
      <c r="E293" s="22"/>
      <c r="F293" s="23"/>
    </row>
    <row r="294" spans="1:6" s="92" customFormat="1" ht="23.25" x14ac:dyDescent="0.55000000000000004">
      <c r="A294" s="23">
        <v>4070000</v>
      </c>
      <c r="B294" s="23">
        <f>24851.32+653.6+2296.15</f>
        <v>27801.07</v>
      </c>
      <c r="C294" s="93"/>
      <c r="D294" s="19" t="s">
        <v>15</v>
      </c>
      <c r="E294" s="22" t="s">
        <v>16</v>
      </c>
      <c r="F294" s="23">
        <v>2296.15</v>
      </c>
    </row>
    <row r="295" spans="1:6" s="92" customFormat="1" ht="23.25" x14ac:dyDescent="0.55000000000000004">
      <c r="A295" s="23">
        <v>83000</v>
      </c>
      <c r="B295" s="24">
        <f>562+814+684+3058+155.2+252.2</f>
        <v>5525.4</v>
      </c>
      <c r="C295" s="93"/>
      <c r="D295" s="19" t="s">
        <v>17</v>
      </c>
      <c r="E295" s="22" t="s">
        <v>18</v>
      </c>
      <c r="F295" s="24">
        <f>3058+252.2</f>
        <v>3310.2</v>
      </c>
    </row>
    <row r="296" spans="1:6" s="92" customFormat="1" ht="23.25" x14ac:dyDescent="0.55000000000000004">
      <c r="A296" s="23">
        <v>110000</v>
      </c>
      <c r="B296" s="24">
        <v>33122.75</v>
      </c>
      <c r="C296" s="93"/>
      <c r="D296" s="19" t="s">
        <v>19</v>
      </c>
      <c r="E296" s="22" t="s">
        <v>20</v>
      </c>
      <c r="F296" s="24">
        <v>33122.75</v>
      </c>
    </row>
    <row r="297" spans="1:6" s="92" customFormat="1" ht="23.25" x14ac:dyDescent="0.55000000000000004">
      <c r="A297" s="23">
        <v>1005000</v>
      </c>
      <c r="B297" s="24">
        <f>41413+41107+47949+77291</f>
        <v>207760</v>
      </c>
      <c r="C297" s="93"/>
      <c r="D297" s="19" t="s">
        <v>21</v>
      </c>
      <c r="E297" s="22" t="s">
        <v>22</v>
      </c>
      <c r="F297" s="24">
        <v>77291</v>
      </c>
    </row>
    <row r="298" spans="1:6" s="92" customFormat="1" ht="23.25" x14ac:dyDescent="0.55000000000000004">
      <c r="A298" s="23">
        <v>90000</v>
      </c>
      <c r="B298" s="23">
        <f>3500+7200</f>
        <v>10700</v>
      </c>
      <c r="C298" s="93"/>
      <c r="D298" s="19" t="s">
        <v>23</v>
      </c>
      <c r="E298" s="22" t="s">
        <v>24</v>
      </c>
      <c r="F298" s="24"/>
    </row>
    <row r="299" spans="1:6" s="92" customFormat="1" ht="23.25" x14ac:dyDescent="0.55000000000000004">
      <c r="A299" s="24">
        <v>2000</v>
      </c>
      <c r="B299" s="23">
        <v>3665</v>
      </c>
      <c r="C299" s="93"/>
      <c r="D299" s="19" t="s">
        <v>106</v>
      </c>
      <c r="E299" s="22" t="s">
        <v>26</v>
      </c>
      <c r="F299" s="23">
        <v>3665</v>
      </c>
    </row>
    <row r="300" spans="1:6" s="92" customFormat="1" ht="23.25" x14ac:dyDescent="0.55000000000000004">
      <c r="A300" s="23">
        <v>11890000</v>
      </c>
      <c r="B300" s="23">
        <f>956708.22+877096.73+606176.86+458872.06-155.2-252.2</f>
        <v>2898446.4699999997</v>
      </c>
      <c r="C300" s="19"/>
      <c r="D300" s="19" t="s">
        <v>107</v>
      </c>
      <c r="E300" s="22"/>
      <c r="F300" s="23">
        <f>458872.06-252.2</f>
        <v>458619.86</v>
      </c>
    </row>
    <row r="301" spans="1:6" s="92" customFormat="1" ht="23.25" x14ac:dyDescent="0.55000000000000004">
      <c r="A301" s="55">
        <v>4750000</v>
      </c>
      <c r="B301" s="17">
        <f>1357655+1386596</f>
        <v>2744251</v>
      </c>
      <c r="C301" s="94"/>
      <c r="D301" s="26" t="s">
        <v>108</v>
      </c>
      <c r="E301" s="27"/>
      <c r="F301" s="17">
        <v>1386596</v>
      </c>
    </row>
    <row r="302" spans="1:6" s="92" customFormat="1" ht="24" thickBot="1" x14ac:dyDescent="0.6">
      <c r="A302" s="28">
        <f>SUM(A294:A301)</f>
        <v>22000000</v>
      </c>
      <c r="B302" s="28">
        <f>SUM(B294:B301)</f>
        <v>5931271.6899999995</v>
      </c>
      <c r="C302" s="29"/>
      <c r="D302" s="30"/>
      <c r="E302" s="22"/>
      <c r="F302" s="28">
        <f>SUM(F294:F301)</f>
        <v>1964900.96</v>
      </c>
    </row>
    <row r="303" spans="1:6" s="92" customFormat="1" ht="24" thickTop="1" x14ac:dyDescent="0.55000000000000004">
      <c r="A303" s="13"/>
      <c r="B303" s="23">
        <v>0</v>
      </c>
      <c r="C303" s="65"/>
      <c r="D303" s="19" t="s">
        <v>27</v>
      </c>
      <c r="E303" s="22"/>
      <c r="F303" s="23">
        <v>0</v>
      </c>
    </row>
    <row r="304" spans="1:6" s="92" customFormat="1" ht="23.25" x14ac:dyDescent="0.55000000000000004">
      <c r="A304" s="13"/>
      <c r="B304" s="23">
        <v>0</v>
      </c>
      <c r="C304" s="29"/>
      <c r="D304" s="19" t="s">
        <v>28</v>
      </c>
      <c r="E304" s="22"/>
      <c r="F304" s="23">
        <v>0</v>
      </c>
    </row>
    <row r="305" spans="1:6" s="92" customFormat="1" ht="23.25" x14ac:dyDescent="0.55000000000000004">
      <c r="A305" s="13"/>
      <c r="B305" s="23">
        <f>187.15+394.25+791.35</f>
        <v>1372.75</v>
      </c>
      <c r="C305" s="66"/>
      <c r="D305" s="19" t="s">
        <v>29</v>
      </c>
      <c r="E305" s="22"/>
      <c r="F305" s="23">
        <v>791.35</v>
      </c>
    </row>
    <row r="306" spans="1:6" s="92" customFormat="1" ht="23.25" x14ac:dyDescent="0.55000000000000004">
      <c r="A306" s="13"/>
      <c r="B306" s="23">
        <v>0</v>
      </c>
      <c r="C306" s="66"/>
      <c r="D306" s="19" t="s">
        <v>30</v>
      </c>
      <c r="E306" s="22"/>
      <c r="F306" s="23"/>
    </row>
    <row r="307" spans="1:6" s="92" customFormat="1" ht="23.25" x14ac:dyDescent="0.55000000000000004">
      <c r="A307" s="26"/>
      <c r="B307" s="23">
        <v>0</v>
      </c>
      <c r="C307" s="95"/>
      <c r="D307" s="19" t="s">
        <v>31</v>
      </c>
      <c r="E307" s="22" t="s">
        <v>32</v>
      </c>
      <c r="F307" s="23"/>
    </row>
    <row r="308" spans="1:6" s="92" customFormat="1" ht="23.25" x14ac:dyDescent="0.55000000000000004">
      <c r="A308" s="31"/>
      <c r="B308" s="23">
        <v>0</v>
      </c>
      <c r="C308" s="96"/>
      <c r="D308" s="19" t="s">
        <v>33</v>
      </c>
      <c r="E308" s="22" t="s">
        <v>34</v>
      </c>
      <c r="F308" s="23"/>
    </row>
    <row r="309" spans="1:6" s="92" customFormat="1" ht="23.25" x14ac:dyDescent="0.55000000000000004">
      <c r="A309" s="31"/>
      <c r="B309" s="23">
        <v>763200</v>
      </c>
      <c r="C309" s="96"/>
      <c r="D309" s="26" t="s">
        <v>35</v>
      </c>
      <c r="E309" s="22" t="s">
        <v>36</v>
      </c>
      <c r="F309" s="23"/>
    </row>
    <row r="310" spans="1:6" s="92" customFormat="1" ht="23.25" x14ac:dyDescent="0.55000000000000004">
      <c r="A310" s="31"/>
      <c r="B310" s="23">
        <f>77106.05+179271.55+39555.32+11940.5+55.15+5901.77+953.85+5419.83+12039+12864.5-45050</f>
        <v>300057.52</v>
      </c>
      <c r="C310" s="96"/>
      <c r="D310" s="19" t="s">
        <v>37</v>
      </c>
      <c r="E310" s="27" t="s">
        <v>38</v>
      </c>
      <c r="F310" s="23">
        <f>162.5+791.35+5419.83+12039</f>
        <v>18412.68</v>
      </c>
    </row>
    <row r="311" spans="1:6" s="92" customFormat="1" ht="23.25" x14ac:dyDescent="0.55000000000000004">
      <c r="A311" s="31"/>
      <c r="B311" s="23"/>
      <c r="C311" s="96"/>
      <c r="D311" s="19" t="s">
        <v>538</v>
      </c>
      <c r="E311" s="22" t="s">
        <v>39</v>
      </c>
      <c r="F311" s="23"/>
    </row>
    <row r="312" spans="1:6" s="92" customFormat="1" ht="23.25" x14ac:dyDescent="0.55000000000000004">
      <c r="A312" s="31"/>
      <c r="B312" s="23"/>
      <c r="C312" s="96"/>
      <c r="D312" s="19" t="s">
        <v>538</v>
      </c>
      <c r="E312" s="32"/>
      <c r="F312" s="23"/>
    </row>
    <row r="313" spans="1:6" s="92" customFormat="1" ht="23.25" x14ac:dyDescent="0.55000000000000004">
      <c r="A313" s="31"/>
      <c r="B313" s="23">
        <f>21800+186690+142415</f>
        <v>350905</v>
      </c>
      <c r="C313" s="96"/>
      <c r="D313" s="33" t="s">
        <v>539</v>
      </c>
      <c r="E313" s="32"/>
      <c r="F313" s="23">
        <v>142415</v>
      </c>
    </row>
    <row r="314" spans="1:6" s="92" customFormat="1" ht="23.25" x14ac:dyDescent="0.55000000000000004">
      <c r="A314" s="31"/>
      <c r="B314" s="23">
        <f>1090+3420+2280</f>
        <v>6790</v>
      </c>
      <c r="C314" s="96"/>
      <c r="D314" s="33" t="s">
        <v>540</v>
      </c>
      <c r="E314" s="32"/>
      <c r="F314" s="23">
        <f>2280</f>
        <v>2280</v>
      </c>
    </row>
    <row r="315" spans="1:6" s="92" customFormat="1" ht="23.25" x14ac:dyDescent="0.55000000000000004">
      <c r="A315" s="31"/>
      <c r="B315" s="23"/>
      <c r="C315" s="96"/>
      <c r="D315" s="33" t="s">
        <v>40</v>
      </c>
      <c r="E315" s="34"/>
      <c r="F315" s="23"/>
    </row>
    <row r="316" spans="1:6" s="92" customFormat="1" ht="23.25" x14ac:dyDescent="0.55000000000000004">
      <c r="A316" s="31"/>
      <c r="B316" s="23">
        <f>1284600+2997400</f>
        <v>4282000</v>
      </c>
      <c r="C316" s="93"/>
      <c r="D316" s="33" t="s">
        <v>527</v>
      </c>
      <c r="E316" s="22"/>
      <c r="F316" s="23"/>
    </row>
    <row r="317" spans="1:6" s="92" customFormat="1" ht="23.25" x14ac:dyDescent="0.55000000000000004">
      <c r="A317" s="31"/>
      <c r="B317" s="23">
        <f>6383.34+169</f>
        <v>6552.34</v>
      </c>
      <c r="C317" s="96"/>
      <c r="D317" s="438" t="s">
        <v>42</v>
      </c>
      <c r="E317" s="22"/>
      <c r="F317" s="23"/>
    </row>
    <row r="318" spans="1:6" s="92" customFormat="1" ht="23.25" x14ac:dyDescent="0.55000000000000004">
      <c r="A318" s="31"/>
      <c r="B318" s="23">
        <v>50400</v>
      </c>
      <c r="C318" s="96"/>
      <c r="D318" s="438" t="s">
        <v>524</v>
      </c>
      <c r="E318" s="22"/>
      <c r="F318" s="23"/>
    </row>
    <row r="319" spans="1:6" s="92" customFormat="1" ht="23.25" x14ac:dyDescent="0.55000000000000004">
      <c r="A319" s="31"/>
      <c r="B319" s="23">
        <f>1011900+674600</f>
        <v>1686500</v>
      </c>
      <c r="C319" s="96"/>
      <c r="D319" s="438" t="s">
        <v>525</v>
      </c>
      <c r="E319" s="22"/>
      <c r="F319" s="23">
        <v>674600</v>
      </c>
    </row>
    <row r="320" spans="1:6" s="92" customFormat="1" ht="23.25" x14ac:dyDescent="0.55000000000000004">
      <c r="A320" s="31"/>
      <c r="B320" s="23">
        <f>136800+136800</f>
        <v>273600</v>
      </c>
      <c r="C320" s="96"/>
      <c r="D320" s="438" t="s">
        <v>526</v>
      </c>
      <c r="E320" s="22"/>
      <c r="F320" s="23">
        <v>136800</v>
      </c>
    </row>
    <row r="321" spans="1:6" s="92" customFormat="1" ht="23.25" x14ac:dyDescent="0.55000000000000004">
      <c r="A321" s="31"/>
      <c r="B321" s="23">
        <v>430</v>
      </c>
      <c r="C321" s="96"/>
      <c r="D321" s="438" t="s">
        <v>528</v>
      </c>
      <c r="E321" s="22"/>
      <c r="F321" s="23"/>
    </row>
    <row r="322" spans="1:6" s="92" customFormat="1" ht="23.25" x14ac:dyDescent="0.55000000000000004">
      <c r="A322" s="31"/>
      <c r="B322" s="23">
        <f>393350+38750+45050</f>
        <v>477150</v>
      </c>
      <c r="C322" s="96"/>
      <c r="D322" s="438" t="s">
        <v>532</v>
      </c>
      <c r="E322" s="22"/>
      <c r="F322" s="23">
        <v>38750</v>
      </c>
    </row>
    <row r="323" spans="1:6" s="92" customFormat="1" ht="23.25" x14ac:dyDescent="0.55000000000000004">
      <c r="A323" s="31"/>
      <c r="B323" s="23">
        <v>82.43</v>
      </c>
      <c r="C323" s="437"/>
      <c r="D323" s="438" t="s">
        <v>533</v>
      </c>
      <c r="E323" s="22"/>
      <c r="F323" s="23"/>
    </row>
    <row r="324" spans="1:6" s="92" customFormat="1" ht="23.25" x14ac:dyDescent="0.55000000000000004">
      <c r="A324" s="31"/>
      <c r="B324" s="23">
        <v>2250</v>
      </c>
      <c r="C324" s="93"/>
      <c r="D324" s="19" t="s">
        <v>534</v>
      </c>
      <c r="E324" s="22"/>
      <c r="F324" s="23"/>
    </row>
    <row r="325" spans="1:6" s="92" customFormat="1" ht="23.25" x14ac:dyDescent="0.55000000000000004">
      <c r="A325" s="31"/>
      <c r="B325" s="23">
        <v>0</v>
      </c>
      <c r="C325" s="383"/>
      <c r="D325" s="19"/>
      <c r="E325" s="384"/>
      <c r="F325" s="23">
        <v>0</v>
      </c>
    </row>
    <row r="326" spans="1:6" s="92" customFormat="1" ht="23.25" x14ac:dyDescent="0.55000000000000004">
      <c r="A326" s="31"/>
      <c r="B326" s="23">
        <v>0</v>
      </c>
      <c r="C326" s="96"/>
      <c r="D326" s="30"/>
      <c r="E326" s="22"/>
      <c r="F326" s="23">
        <v>0</v>
      </c>
    </row>
    <row r="327" spans="1:6" s="92" customFormat="1" ht="23.25" x14ac:dyDescent="0.55000000000000004">
      <c r="A327" s="31"/>
      <c r="B327" s="35">
        <f>SUM(B303:B326)</f>
        <v>8201290.0399999991</v>
      </c>
      <c r="C327" s="824" t="s">
        <v>43</v>
      </c>
      <c r="D327" s="823"/>
      <c r="E327" s="56"/>
      <c r="F327" s="25">
        <f>SUM(F303:F326)</f>
        <v>1014049.03</v>
      </c>
    </row>
    <row r="328" spans="1:6" s="92" customFormat="1" ht="23.25" x14ac:dyDescent="0.55000000000000004">
      <c r="A328" s="31"/>
      <c r="B328" s="36">
        <f>SUM(B327+B302)</f>
        <v>14132561.729999999</v>
      </c>
      <c r="C328" s="446"/>
      <c r="D328" s="446"/>
      <c r="E328" s="56"/>
      <c r="F328" s="37">
        <f>SUM(F327+F302)</f>
        <v>2978949.99</v>
      </c>
    </row>
    <row r="329" spans="1:6" s="92" customFormat="1" ht="24" x14ac:dyDescent="0.55000000000000004">
      <c r="A329" s="38"/>
      <c r="B329" s="39"/>
      <c r="C329" s="40"/>
      <c r="D329" s="40"/>
      <c r="E329" s="41"/>
      <c r="F329" s="42"/>
    </row>
    <row r="330" spans="1:6" s="92" customFormat="1" ht="24" x14ac:dyDescent="0.55000000000000004">
      <c r="A330" s="38"/>
      <c r="B330" s="39"/>
      <c r="C330" s="40"/>
      <c r="D330" s="40"/>
      <c r="E330" s="41"/>
      <c r="F330" s="42"/>
    </row>
    <row r="331" spans="1:6" s="92" customFormat="1" ht="24" x14ac:dyDescent="0.55000000000000004">
      <c r="A331" s="38"/>
      <c r="B331" s="39"/>
      <c r="C331" s="40"/>
      <c r="D331" s="40"/>
      <c r="E331" s="41"/>
      <c r="F331" s="42"/>
    </row>
    <row r="332" spans="1:6" s="92" customFormat="1" ht="24" x14ac:dyDescent="0.55000000000000004">
      <c r="A332" s="38"/>
      <c r="B332" s="39"/>
      <c r="C332" s="40"/>
      <c r="D332" s="40"/>
      <c r="E332" s="41"/>
      <c r="F332" s="42"/>
    </row>
    <row r="333" spans="1:6" s="92" customFormat="1" ht="24.75" thickBot="1" x14ac:dyDescent="0.6">
      <c r="A333" s="38"/>
      <c r="B333" s="39"/>
      <c r="C333" s="40"/>
      <c r="D333" s="40"/>
      <c r="E333" s="41"/>
      <c r="F333" s="42"/>
    </row>
    <row r="334" spans="1:6" s="92" customFormat="1" ht="22.5" thickTop="1" x14ac:dyDescent="0.5">
      <c r="A334" s="829" t="s">
        <v>4</v>
      </c>
      <c r="B334" s="830"/>
      <c r="C334" s="831"/>
      <c r="D334" s="832"/>
      <c r="E334" s="5"/>
      <c r="F334" s="6" t="s">
        <v>5</v>
      </c>
    </row>
    <row r="335" spans="1:6" s="92" customFormat="1" ht="21.75" x14ac:dyDescent="0.5">
      <c r="A335" s="7" t="s">
        <v>6</v>
      </c>
      <c r="B335" s="449" t="s">
        <v>7</v>
      </c>
      <c r="C335" s="819" t="s">
        <v>10</v>
      </c>
      <c r="D335" s="820"/>
      <c r="E335" s="8" t="s">
        <v>8</v>
      </c>
      <c r="F335" s="9" t="s">
        <v>7</v>
      </c>
    </row>
    <row r="336" spans="1:6" s="92" customFormat="1" ht="22.5" thickBot="1" x14ac:dyDescent="0.55000000000000004">
      <c r="A336" s="10" t="s">
        <v>9</v>
      </c>
      <c r="B336" s="450" t="s">
        <v>9</v>
      </c>
      <c r="C336" s="821"/>
      <c r="D336" s="822"/>
      <c r="E336" s="11" t="s">
        <v>11</v>
      </c>
      <c r="F336" s="10" t="s">
        <v>9</v>
      </c>
    </row>
    <row r="337" spans="1:6" s="92" customFormat="1" ht="24" thickTop="1" x14ac:dyDescent="0.55000000000000004">
      <c r="A337" s="43"/>
      <c r="B337" s="13"/>
      <c r="C337" s="44" t="s">
        <v>44</v>
      </c>
      <c r="D337" s="15"/>
      <c r="E337" s="16"/>
      <c r="F337" s="17"/>
    </row>
    <row r="338" spans="1:6" s="92" customFormat="1" ht="23.25" x14ac:dyDescent="0.55000000000000004">
      <c r="A338" s="23">
        <v>1536160</v>
      </c>
      <c r="B338" s="24">
        <f>2500+13795.5+24813+15364.5+257191.2</f>
        <v>313664.2</v>
      </c>
      <c r="C338" s="20"/>
      <c r="D338" s="30" t="s">
        <v>41</v>
      </c>
      <c r="E338" s="22" t="s">
        <v>45</v>
      </c>
      <c r="F338" s="23">
        <f>15364.5+257191.2</f>
        <v>272555.7</v>
      </c>
    </row>
    <row r="339" spans="1:6" s="92" customFormat="1" ht="23.25" x14ac:dyDescent="0.55000000000000004">
      <c r="A339" s="97">
        <v>2624640</v>
      </c>
      <c r="B339" s="24">
        <f>218720+218720+218720+218720</f>
        <v>874880</v>
      </c>
      <c r="C339" s="29"/>
      <c r="D339" s="30" t="s">
        <v>46</v>
      </c>
      <c r="E339" s="22" t="s">
        <v>47</v>
      </c>
      <c r="F339" s="23">
        <v>218720</v>
      </c>
    </row>
    <row r="340" spans="1:6" s="92" customFormat="1" ht="23.25" x14ac:dyDescent="0.55000000000000004">
      <c r="A340" s="98">
        <f>4541000+35000+1527000</f>
        <v>6103000</v>
      </c>
      <c r="B340" s="24">
        <f>393371.37+452770+451790+658236.2-257191.2</f>
        <v>1698976.37</v>
      </c>
      <c r="C340" s="29"/>
      <c r="D340" s="30" t="s">
        <v>48</v>
      </c>
      <c r="E340" s="22" t="s">
        <v>47</v>
      </c>
      <c r="F340" s="24">
        <f>658236.2-257191.2</f>
        <v>401044.99999999994</v>
      </c>
    </row>
    <row r="341" spans="1:6" s="92" customFormat="1" ht="23.25" x14ac:dyDescent="0.55000000000000004">
      <c r="A341" s="23">
        <f>110000+10000+76000</f>
        <v>196000</v>
      </c>
      <c r="B341" s="24">
        <f>3500+22700+18020+6170</f>
        <v>50390</v>
      </c>
      <c r="C341" s="29"/>
      <c r="D341" s="30" t="s">
        <v>49</v>
      </c>
      <c r="E341" s="22" t="s">
        <v>47</v>
      </c>
      <c r="F341" s="23">
        <v>6170</v>
      </c>
    </row>
    <row r="342" spans="1:6" s="92" customFormat="1" ht="23.25" x14ac:dyDescent="0.55000000000000004">
      <c r="A342" s="23">
        <f>399000+210000+450000+100000+20000+80000+110000+880000+10000+100000</f>
        <v>2359000</v>
      </c>
      <c r="B342" s="24">
        <f>126305+47540+157877+175805.73+330000</f>
        <v>837527.73</v>
      </c>
      <c r="C342" s="29"/>
      <c r="D342" s="30" t="s">
        <v>50</v>
      </c>
      <c r="E342" s="22" t="s">
        <v>51</v>
      </c>
      <c r="F342" s="23">
        <f>175805.73+330000</f>
        <v>505805.73</v>
      </c>
    </row>
    <row r="343" spans="1:6" s="92" customFormat="1" ht="23.25" x14ac:dyDescent="0.55000000000000004">
      <c r="A343" s="23">
        <f>374000+55000+510000+20000+300000+10000+400000</f>
        <v>1669000</v>
      </c>
      <c r="B343" s="23">
        <f>8670+35781+199291.9</f>
        <v>243742.9</v>
      </c>
      <c r="C343" s="29"/>
      <c r="D343" s="30" t="s">
        <v>52</v>
      </c>
      <c r="E343" s="22" t="s">
        <v>53</v>
      </c>
      <c r="F343" s="23">
        <v>199291.9</v>
      </c>
    </row>
    <row r="344" spans="1:6" s="92" customFormat="1" ht="23.25" x14ac:dyDescent="0.55000000000000004">
      <c r="A344" s="23">
        <f>271000+1100000</f>
        <v>1371000</v>
      </c>
      <c r="B344" s="24">
        <f>115218.49+932+105203.83+119261.79</f>
        <v>340616.11</v>
      </c>
      <c r="C344" s="29"/>
      <c r="D344" s="30" t="s">
        <v>54</v>
      </c>
      <c r="E344" s="22" t="s">
        <v>55</v>
      </c>
      <c r="F344" s="24">
        <v>119261.79</v>
      </c>
    </row>
    <row r="345" spans="1:6" s="92" customFormat="1" ht="23.25" x14ac:dyDescent="0.55000000000000004">
      <c r="A345" s="23">
        <f>740000+105000+20000</f>
        <v>865000</v>
      </c>
      <c r="B345" s="24">
        <f>217000+167000</f>
        <v>384000</v>
      </c>
      <c r="C345" s="29"/>
      <c r="D345" s="30" t="s">
        <v>25</v>
      </c>
      <c r="E345" s="22" t="s">
        <v>56</v>
      </c>
      <c r="F345" s="24">
        <v>167000</v>
      </c>
    </row>
    <row r="346" spans="1:6" s="92" customFormat="1" ht="23.25" x14ac:dyDescent="0.55000000000000004">
      <c r="A346" s="23">
        <f>208100+100000+9600+256000</f>
        <v>573700</v>
      </c>
      <c r="B346" s="24">
        <v>0</v>
      </c>
      <c r="C346" s="29"/>
      <c r="D346" s="30" t="s">
        <v>57</v>
      </c>
      <c r="E346" s="22" t="s">
        <v>58</v>
      </c>
      <c r="F346" s="24">
        <v>0</v>
      </c>
    </row>
    <row r="347" spans="1:6" s="92" customFormat="1" ht="23.25" x14ac:dyDescent="0.55000000000000004">
      <c r="A347" s="24">
        <v>4682500</v>
      </c>
      <c r="B347" s="24">
        <v>0</v>
      </c>
      <c r="C347" s="29"/>
      <c r="D347" s="30" t="s">
        <v>59</v>
      </c>
      <c r="E347" s="22" t="s">
        <v>60</v>
      </c>
      <c r="F347" s="24">
        <v>0</v>
      </c>
    </row>
    <row r="348" spans="1:6" s="92" customFormat="1" ht="23.25" x14ac:dyDescent="0.55000000000000004">
      <c r="A348" s="23">
        <v>20000</v>
      </c>
      <c r="B348" s="23">
        <v>0</v>
      </c>
      <c r="C348" s="29"/>
      <c r="D348" s="30" t="s">
        <v>61</v>
      </c>
      <c r="E348" s="22" t="s">
        <v>62</v>
      </c>
      <c r="F348" s="23">
        <v>0</v>
      </c>
    </row>
    <row r="349" spans="1:6" s="92" customFormat="1" ht="23.25" x14ac:dyDescent="0.55000000000000004">
      <c r="A349" s="17"/>
      <c r="B349" s="17"/>
      <c r="C349" s="29"/>
      <c r="D349" s="31"/>
      <c r="E349" s="27"/>
      <c r="F349" s="17">
        <v>0</v>
      </c>
    </row>
    <row r="350" spans="1:6" s="92" customFormat="1" ht="24" thickBot="1" x14ac:dyDescent="0.6">
      <c r="A350" s="28">
        <f>SUM(A338:A349)</f>
        <v>22000000</v>
      </c>
      <c r="B350" s="28">
        <f>SUM(B338:B349)</f>
        <v>4743797.3100000005</v>
      </c>
      <c r="C350" s="45"/>
      <c r="D350" s="46" t="s">
        <v>13</v>
      </c>
      <c r="E350" s="28" t="s">
        <v>13</v>
      </c>
      <c r="F350" s="28">
        <f>SUM(F338:F349)</f>
        <v>1889850.1199999999</v>
      </c>
    </row>
    <row r="351" spans="1:6" s="92" customFormat="1" ht="24" thickTop="1" x14ac:dyDescent="0.55000000000000004">
      <c r="A351" s="416"/>
      <c r="B351" s="47"/>
      <c r="C351" s="48"/>
      <c r="D351" s="49"/>
      <c r="E351" s="50"/>
      <c r="F351" s="50"/>
    </row>
    <row r="352" spans="1:6" s="92" customFormat="1" ht="23.25" x14ac:dyDescent="0.55000000000000004">
      <c r="A352" s="23"/>
      <c r="B352" s="24">
        <v>0</v>
      </c>
      <c r="C352" s="20"/>
      <c r="D352" s="30" t="s">
        <v>321</v>
      </c>
      <c r="E352" s="22"/>
      <c r="F352" s="23">
        <v>0</v>
      </c>
    </row>
    <row r="353" spans="1:6" s="92" customFormat="1" ht="23.25" x14ac:dyDescent="0.55000000000000004">
      <c r="A353" s="23"/>
      <c r="B353" s="24">
        <f>672000+334100+332300</f>
        <v>1338400</v>
      </c>
      <c r="C353" s="20"/>
      <c r="D353" s="30" t="s">
        <v>63</v>
      </c>
      <c r="E353" s="22"/>
      <c r="F353" s="23">
        <v>332300</v>
      </c>
    </row>
    <row r="354" spans="1:6" s="92" customFormat="1" ht="23.25" x14ac:dyDescent="0.55000000000000004">
      <c r="A354" s="23"/>
      <c r="B354" s="24">
        <f>91200+45600+45600</f>
        <v>182400</v>
      </c>
      <c r="C354" s="20"/>
      <c r="D354" s="30" t="s">
        <v>64</v>
      </c>
      <c r="E354" s="22"/>
      <c r="F354" s="23">
        <v>45600</v>
      </c>
    </row>
    <row r="355" spans="1:6" s="92" customFormat="1" ht="23.25" x14ac:dyDescent="0.55000000000000004">
      <c r="A355" s="24"/>
      <c r="B355" s="24"/>
      <c r="C355" s="29"/>
      <c r="D355" s="30" t="s">
        <v>65</v>
      </c>
      <c r="E355" s="22"/>
      <c r="F355" s="24"/>
    </row>
    <row r="356" spans="1:6" s="92" customFormat="1" ht="23.25" x14ac:dyDescent="0.55000000000000004">
      <c r="A356" s="17"/>
      <c r="B356" s="45">
        <f>443000+458000</f>
        <v>901000</v>
      </c>
      <c r="C356" s="45"/>
      <c r="D356" s="46" t="s">
        <v>33</v>
      </c>
      <c r="E356" s="23"/>
      <c r="F356" s="23"/>
    </row>
    <row r="357" spans="1:6" s="92" customFormat="1" ht="23.25" x14ac:dyDescent="0.55000000000000004">
      <c r="A357" s="31"/>
      <c r="B357" s="51">
        <f>961000+760000</f>
        <v>1721000</v>
      </c>
      <c r="C357" s="29"/>
      <c r="D357" s="30" t="s">
        <v>67</v>
      </c>
      <c r="E357" s="22" t="s">
        <v>68</v>
      </c>
      <c r="F357" s="23"/>
    </row>
    <row r="358" spans="1:6" s="92" customFormat="1" ht="23.25" x14ac:dyDescent="0.55000000000000004">
      <c r="A358" s="31"/>
      <c r="B358" s="51">
        <v>330000</v>
      </c>
      <c r="C358" s="29"/>
      <c r="D358" s="31" t="s">
        <v>66</v>
      </c>
      <c r="E358" s="27" t="s">
        <v>32</v>
      </c>
      <c r="F358" s="17"/>
    </row>
    <row r="359" spans="1:6" s="92" customFormat="1" ht="23.25" x14ac:dyDescent="0.55000000000000004">
      <c r="A359" s="31"/>
      <c r="B359" s="51">
        <f>382100+381100</f>
        <v>763200</v>
      </c>
      <c r="C359" s="29"/>
      <c r="D359" s="30" t="s">
        <v>69</v>
      </c>
      <c r="E359" s="22" t="s">
        <v>36</v>
      </c>
      <c r="F359" s="24"/>
    </row>
    <row r="360" spans="1:6" s="92" customFormat="1" ht="23.25" x14ac:dyDescent="0.55000000000000004">
      <c r="A360" s="31"/>
      <c r="B360" s="51">
        <f>16513.35+21992.05+39555.32+5901.77</f>
        <v>83962.49</v>
      </c>
      <c r="C360" s="29"/>
      <c r="D360" s="30" t="s">
        <v>70</v>
      </c>
      <c r="E360" s="22" t="s">
        <v>38</v>
      </c>
      <c r="F360" s="24">
        <f>5901.77</f>
        <v>5901.77</v>
      </c>
    </row>
    <row r="361" spans="1:6" s="92" customFormat="1" ht="23.25" x14ac:dyDescent="0.55000000000000004">
      <c r="A361" s="31"/>
      <c r="B361" s="23">
        <f>11295.5+10709+12864.5</f>
        <v>34869</v>
      </c>
      <c r="C361" s="19"/>
      <c r="D361" s="30" t="s">
        <v>493</v>
      </c>
      <c r="E361" s="53"/>
      <c r="F361" s="24">
        <v>12864.5</v>
      </c>
    </row>
    <row r="362" spans="1:6" s="92" customFormat="1" ht="23.25" x14ac:dyDescent="0.55000000000000004">
      <c r="A362" s="31"/>
      <c r="B362" s="24"/>
      <c r="C362" s="19"/>
      <c r="D362" s="52" t="s">
        <v>105</v>
      </c>
      <c r="E362" s="53"/>
      <c r="F362" s="24"/>
    </row>
    <row r="363" spans="1:6" s="92" customFormat="1" ht="23.25" x14ac:dyDescent="0.55000000000000004">
      <c r="A363" s="31"/>
      <c r="B363" s="24"/>
      <c r="C363" s="19"/>
      <c r="D363" s="30" t="s">
        <v>71</v>
      </c>
      <c r="E363" s="22"/>
      <c r="F363" s="24"/>
    </row>
    <row r="364" spans="1:6" s="92" customFormat="1" ht="23.25" x14ac:dyDescent="0.55000000000000004">
      <c r="A364" s="31"/>
      <c r="B364" s="24">
        <v>308000</v>
      </c>
      <c r="C364" s="29"/>
      <c r="D364" s="30" t="s">
        <v>102</v>
      </c>
      <c r="E364" s="22"/>
      <c r="F364" s="24">
        <v>308000</v>
      </c>
    </row>
    <row r="365" spans="1:6" s="92" customFormat="1" ht="23.25" x14ac:dyDescent="0.55000000000000004">
      <c r="A365" s="31"/>
      <c r="B365" s="98">
        <f>61820+115526.5</f>
        <v>177346.5</v>
      </c>
      <c r="C365" s="394"/>
      <c r="D365" s="30" t="s">
        <v>494</v>
      </c>
      <c r="E365" s="384"/>
      <c r="F365" s="98">
        <v>115526.5</v>
      </c>
    </row>
    <row r="366" spans="1:6" s="92" customFormat="1" ht="24" x14ac:dyDescent="0.55000000000000004">
      <c r="A366" s="31"/>
      <c r="B366" s="24">
        <f>5500+8600+129440</f>
        <v>143540</v>
      </c>
      <c r="C366" s="29"/>
      <c r="D366" s="439" t="s">
        <v>529</v>
      </c>
      <c r="E366" s="22"/>
      <c r="F366" s="24">
        <v>129440</v>
      </c>
    </row>
    <row r="367" spans="1:6" s="92" customFormat="1" ht="24" x14ac:dyDescent="0.55000000000000004">
      <c r="A367" s="31"/>
      <c r="B367" s="24">
        <v>179250</v>
      </c>
      <c r="C367" s="29"/>
      <c r="D367" s="439" t="s">
        <v>535</v>
      </c>
      <c r="E367" s="22"/>
      <c r="F367" s="24"/>
    </row>
    <row r="368" spans="1:6" s="92" customFormat="1" ht="23.25" x14ac:dyDescent="0.55000000000000004">
      <c r="A368" s="31"/>
      <c r="B368" s="54">
        <f>1284600+2997400</f>
        <v>4282000</v>
      </c>
      <c r="C368" s="29"/>
      <c r="D368" s="30" t="s">
        <v>517</v>
      </c>
      <c r="E368" s="22"/>
      <c r="F368" s="55"/>
    </row>
    <row r="369" spans="1:6" s="92" customFormat="1" ht="23.25" x14ac:dyDescent="0.55000000000000004">
      <c r="A369" s="31"/>
      <c r="B369" s="37">
        <f>SUM(B352:B368)</f>
        <v>10444967.99</v>
      </c>
      <c r="C369" s="823" t="s">
        <v>72</v>
      </c>
      <c r="D369" s="823"/>
      <c r="E369" s="56"/>
      <c r="F369" s="37">
        <f>SUM(F352:F368)</f>
        <v>949632.77</v>
      </c>
    </row>
    <row r="370" spans="1:6" s="92" customFormat="1" ht="23.25" x14ac:dyDescent="0.55000000000000004">
      <c r="A370" s="31"/>
      <c r="B370" s="57">
        <f>SUM(B369+B350)</f>
        <v>15188765.300000001</v>
      </c>
      <c r="C370" s="824" t="s">
        <v>73</v>
      </c>
      <c r="D370" s="823"/>
      <c r="E370" s="56"/>
      <c r="F370" s="37">
        <f>SUM(F369+F350)</f>
        <v>2839482.8899999997</v>
      </c>
    </row>
    <row r="371" spans="1:6" s="92" customFormat="1" ht="23.25" x14ac:dyDescent="0.55000000000000004">
      <c r="A371" s="31"/>
      <c r="B371" s="37"/>
      <c r="C371" s="824" t="s">
        <v>74</v>
      </c>
      <c r="D371" s="823"/>
      <c r="E371" s="56"/>
      <c r="F371" s="37" t="s">
        <v>13</v>
      </c>
    </row>
    <row r="372" spans="1:6" s="92" customFormat="1" ht="23.25" x14ac:dyDescent="0.55000000000000004">
      <c r="A372" s="31"/>
      <c r="B372" s="58">
        <f>SUM(B328-B370)</f>
        <v>-1056203.5700000022</v>
      </c>
      <c r="C372" s="824" t="s">
        <v>75</v>
      </c>
      <c r="D372" s="823"/>
      <c r="E372" s="56"/>
      <c r="F372" s="59">
        <f>SUM(F328-F370)</f>
        <v>139467.10000000056</v>
      </c>
    </row>
    <row r="373" spans="1:6" s="92" customFormat="1" ht="23.25" x14ac:dyDescent="0.55000000000000004">
      <c r="A373" s="31"/>
      <c r="B373" s="60">
        <f>SUM(B372+B292)</f>
        <v>12610775.739999998</v>
      </c>
      <c r="C373" s="824"/>
      <c r="D373" s="823"/>
      <c r="E373" s="56"/>
      <c r="F373" s="37">
        <f>SUM(F372+F292)</f>
        <v>12610775.740000002</v>
      </c>
    </row>
    <row r="374" spans="1:6" s="92" customFormat="1" ht="21.75" x14ac:dyDescent="0.5">
      <c r="A374" s="61"/>
      <c r="B374" s="61"/>
      <c r="C374" s="449"/>
      <c r="D374" s="449"/>
      <c r="E374" s="62"/>
      <c r="F374" s="63"/>
    </row>
    <row r="375" spans="1:6" s="826" customFormat="1" ht="18.75" x14ac:dyDescent="0.45">
      <c r="A375" s="825" t="s">
        <v>498</v>
      </c>
    </row>
    <row r="376" spans="1:6" s="99" customFormat="1" ht="18.75" x14ac:dyDescent="0.45">
      <c r="A376" s="447" t="s">
        <v>518</v>
      </c>
      <c r="B376" s="447"/>
      <c r="C376" s="447"/>
      <c r="D376" s="447"/>
      <c r="E376" s="447"/>
      <c r="F376" s="447"/>
    </row>
    <row r="377" spans="1:6" s="99" customFormat="1" ht="18.75" x14ac:dyDescent="0.45">
      <c r="A377" s="447" t="s">
        <v>519</v>
      </c>
      <c r="B377" s="447"/>
      <c r="C377" s="447"/>
      <c r="D377" s="447"/>
      <c r="E377" s="447"/>
      <c r="F377" s="447"/>
    </row>
    <row r="378" spans="1:6" s="92" customFormat="1" ht="18.75" x14ac:dyDescent="0.45">
      <c r="A378" s="447"/>
      <c r="B378" s="447"/>
      <c r="C378" s="447"/>
      <c r="D378" s="447" t="s">
        <v>520</v>
      </c>
      <c r="E378" s="447"/>
      <c r="F378" s="447"/>
    </row>
    <row r="379" spans="1:6" s="92" customFormat="1" ht="18.75" x14ac:dyDescent="0.45">
      <c r="A379" s="561"/>
      <c r="B379" s="561"/>
      <c r="C379" s="561"/>
      <c r="D379" s="561"/>
      <c r="E379" s="561"/>
      <c r="F379" s="561"/>
    </row>
    <row r="380" spans="1:6" s="92" customFormat="1" ht="18.75" x14ac:dyDescent="0.45">
      <c r="A380" s="561"/>
      <c r="B380" s="561"/>
      <c r="C380" s="561"/>
      <c r="D380" s="561"/>
      <c r="E380" s="561"/>
      <c r="F380" s="561"/>
    </row>
    <row r="381" spans="1:6" s="92" customFormat="1" ht="18.75" x14ac:dyDescent="0.45">
      <c r="A381" s="561"/>
      <c r="B381" s="561"/>
      <c r="C381" s="561"/>
      <c r="D381" s="561"/>
      <c r="E381" s="561"/>
      <c r="F381" s="561"/>
    </row>
    <row r="382" spans="1:6" s="92" customFormat="1" ht="18.75" x14ac:dyDescent="0.45">
      <c r="A382" s="561"/>
      <c r="B382" s="561"/>
      <c r="C382" s="561"/>
      <c r="D382" s="561"/>
      <c r="E382" s="561"/>
      <c r="F382" s="561"/>
    </row>
    <row r="383" spans="1:6" s="92" customFormat="1" ht="18.75" x14ac:dyDescent="0.45">
      <c r="A383" s="603"/>
      <c r="B383" s="603"/>
      <c r="C383" s="603"/>
      <c r="D383" s="603"/>
      <c r="E383" s="603"/>
      <c r="F383" s="603"/>
    </row>
    <row r="384" spans="1:6" s="92" customFormat="1" ht="24" x14ac:dyDescent="0.55000000000000004">
      <c r="A384" s="827" t="s">
        <v>0</v>
      </c>
      <c r="B384" s="827"/>
      <c r="C384" s="827"/>
      <c r="D384" s="827"/>
      <c r="E384" s="827"/>
      <c r="F384" s="827"/>
    </row>
    <row r="385" spans="1:6" s="92" customFormat="1" ht="24" x14ac:dyDescent="0.55000000000000004">
      <c r="A385" s="827" t="s">
        <v>1</v>
      </c>
      <c r="B385" s="827"/>
      <c r="C385" s="827"/>
      <c r="D385" s="827"/>
      <c r="E385" s="827"/>
      <c r="F385" s="827"/>
    </row>
    <row r="386" spans="1:6" s="92" customFormat="1" ht="24" x14ac:dyDescent="0.55000000000000004">
      <c r="A386" s="458"/>
      <c r="B386" s="458"/>
      <c r="C386" s="458"/>
      <c r="D386" s="458"/>
      <c r="E386" s="1" t="s">
        <v>544</v>
      </c>
      <c r="F386" s="2"/>
    </row>
    <row r="387" spans="1:6" s="92" customFormat="1" ht="30.75" x14ac:dyDescent="0.7">
      <c r="A387" s="828" t="s">
        <v>2</v>
      </c>
      <c r="B387" s="828"/>
      <c r="C387" s="828"/>
      <c r="D387" s="828"/>
      <c r="E387" s="828"/>
      <c r="F387" s="828"/>
    </row>
    <row r="388" spans="1:6" s="92" customFormat="1" ht="24.75" thickBot="1" x14ac:dyDescent="0.6">
      <c r="A388" s="3" t="s">
        <v>3</v>
      </c>
      <c r="B388" s="3"/>
      <c r="C388" s="3"/>
      <c r="D388" s="4" t="s">
        <v>541</v>
      </c>
      <c r="E388" s="1"/>
      <c r="F388" s="3"/>
    </row>
    <row r="389" spans="1:6" s="92" customFormat="1" ht="22.5" thickTop="1" x14ac:dyDescent="0.5">
      <c r="A389" s="829" t="s">
        <v>4</v>
      </c>
      <c r="B389" s="830"/>
      <c r="C389" s="831"/>
      <c r="D389" s="832"/>
      <c r="E389" s="5"/>
      <c r="F389" s="6" t="s">
        <v>5</v>
      </c>
    </row>
    <row r="390" spans="1:6" s="92" customFormat="1" ht="21.75" x14ac:dyDescent="0.5">
      <c r="A390" s="7" t="s">
        <v>6</v>
      </c>
      <c r="B390" s="7" t="s">
        <v>7</v>
      </c>
      <c r="E390" s="8" t="s">
        <v>8</v>
      </c>
      <c r="F390" s="9" t="s">
        <v>7</v>
      </c>
    </row>
    <row r="391" spans="1:6" s="92" customFormat="1" ht="22.5" thickBot="1" x14ac:dyDescent="0.55000000000000004">
      <c r="A391" s="10" t="s">
        <v>9</v>
      </c>
      <c r="B391" s="457" t="s">
        <v>9</v>
      </c>
      <c r="C391" s="819" t="s">
        <v>10</v>
      </c>
      <c r="D391" s="820"/>
      <c r="E391" s="11" t="s">
        <v>11</v>
      </c>
      <c r="F391" s="10" t="s">
        <v>9</v>
      </c>
    </row>
    <row r="392" spans="1:6" s="92" customFormat="1" ht="24" thickTop="1" x14ac:dyDescent="0.55000000000000004">
      <c r="A392" s="12"/>
      <c r="B392" s="13">
        <v>13666979.310000001</v>
      </c>
      <c r="C392" s="14" t="s">
        <v>12</v>
      </c>
      <c r="D392" s="15"/>
      <c r="E392" s="16"/>
      <c r="F392" s="17">
        <v>12610775.74</v>
      </c>
    </row>
    <row r="393" spans="1:6" s="92" customFormat="1" ht="23.25" x14ac:dyDescent="0.55000000000000004">
      <c r="A393" s="18"/>
      <c r="B393" s="19" t="s">
        <v>13</v>
      </c>
      <c r="C393" s="20" t="s">
        <v>14</v>
      </c>
      <c r="D393" s="21"/>
      <c r="E393" s="22"/>
      <c r="F393" s="23"/>
    </row>
    <row r="394" spans="1:6" s="92" customFormat="1" ht="23.25" x14ac:dyDescent="0.55000000000000004">
      <c r="A394" s="23">
        <v>4070000</v>
      </c>
      <c r="B394" s="23">
        <f>24851.32+653.6+2296.15+837656.77</f>
        <v>865457.84</v>
      </c>
      <c r="C394" s="93"/>
      <c r="D394" s="19" t="s">
        <v>15</v>
      </c>
      <c r="E394" s="22" t="s">
        <v>16</v>
      </c>
      <c r="F394" s="23">
        <v>837656.77</v>
      </c>
    </row>
    <row r="395" spans="1:6" s="92" customFormat="1" ht="23.25" x14ac:dyDescent="0.55000000000000004">
      <c r="A395" s="23">
        <v>83000</v>
      </c>
      <c r="B395" s="24">
        <f>562+814+684+3058+50+155.2+252.2+213.4+76160</f>
        <v>81948.800000000003</v>
      </c>
      <c r="C395" s="93"/>
      <c r="D395" s="19" t="s">
        <v>17</v>
      </c>
      <c r="E395" s="22" t="s">
        <v>18</v>
      </c>
      <c r="F395" s="24">
        <v>76423.399999999994</v>
      </c>
    </row>
    <row r="396" spans="1:6" s="92" customFormat="1" ht="23.25" x14ac:dyDescent="0.55000000000000004">
      <c r="A396" s="23">
        <v>110000</v>
      </c>
      <c r="B396" s="24">
        <v>33122.75</v>
      </c>
      <c r="C396" s="93"/>
      <c r="D396" s="19" t="s">
        <v>19</v>
      </c>
      <c r="E396" s="22" t="s">
        <v>20</v>
      </c>
      <c r="F396" s="24">
        <v>0</v>
      </c>
    </row>
    <row r="397" spans="1:6" s="92" customFormat="1" ht="23.25" x14ac:dyDescent="0.55000000000000004">
      <c r="A397" s="23">
        <v>1005000</v>
      </c>
      <c r="B397" s="24">
        <f>41413+41107+47949+77291+68760</f>
        <v>276520</v>
      </c>
      <c r="C397" s="93"/>
      <c r="D397" s="19" t="s">
        <v>21</v>
      </c>
      <c r="E397" s="22" t="s">
        <v>22</v>
      </c>
      <c r="F397" s="24">
        <v>68760</v>
      </c>
    </row>
    <row r="398" spans="1:6" s="92" customFormat="1" ht="23.25" x14ac:dyDescent="0.55000000000000004">
      <c r="A398" s="23">
        <v>90000</v>
      </c>
      <c r="B398" s="23">
        <f>3500+7200</f>
        <v>10700</v>
      </c>
      <c r="C398" s="93"/>
      <c r="D398" s="19" t="s">
        <v>23</v>
      </c>
      <c r="E398" s="22" t="s">
        <v>24</v>
      </c>
      <c r="F398" s="24">
        <v>0</v>
      </c>
    </row>
    <row r="399" spans="1:6" s="92" customFormat="1" ht="23.25" x14ac:dyDescent="0.55000000000000004">
      <c r="A399" s="24">
        <v>2000</v>
      </c>
      <c r="B399" s="23">
        <v>3665</v>
      </c>
      <c r="C399" s="93"/>
      <c r="D399" s="19" t="s">
        <v>106</v>
      </c>
      <c r="E399" s="22" t="s">
        <v>26</v>
      </c>
      <c r="F399" s="23">
        <v>0</v>
      </c>
    </row>
    <row r="400" spans="1:6" s="92" customFormat="1" ht="23.25" x14ac:dyDescent="0.55000000000000004">
      <c r="A400" s="23">
        <v>11890000</v>
      </c>
      <c r="B400" s="23">
        <f>956708.22+877096.73+606176.86+458872.06+1019505.61-155.2-252.2-213.4</f>
        <v>3917738.6799999997</v>
      </c>
      <c r="C400" s="19"/>
      <c r="D400" s="19" t="s">
        <v>107</v>
      </c>
      <c r="E400" s="22"/>
      <c r="F400" s="23">
        <v>1019292.21</v>
      </c>
    </row>
    <row r="401" spans="1:6" s="92" customFormat="1" ht="23.25" x14ac:dyDescent="0.55000000000000004">
      <c r="A401" s="55">
        <v>4750000</v>
      </c>
      <c r="B401" s="17">
        <f>1357655+1386596</f>
        <v>2744251</v>
      </c>
      <c r="C401" s="94"/>
      <c r="D401" s="26" t="s">
        <v>108</v>
      </c>
      <c r="E401" s="27"/>
      <c r="F401" s="17"/>
    </row>
    <row r="402" spans="1:6" s="92" customFormat="1" ht="24" thickBot="1" x14ac:dyDescent="0.6">
      <c r="A402" s="28">
        <f>SUM(A394:A401)</f>
        <v>22000000</v>
      </c>
      <c r="B402" s="28">
        <f>SUM(B394:B401)</f>
        <v>7933404.0700000003</v>
      </c>
      <c r="C402" s="29"/>
      <c r="D402" s="30"/>
      <c r="E402" s="22"/>
      <c r="F402" s="28">
        <f>SUM(F394:F401)</f>
        <v>2002132.38</v>
      </c>
    </row>
    <row r="403" spans="1:6" s="92" customFormat="1" ht="24" thickTop="1" x14ac:dyDescent="0.55000000000000004">
      <c r="A403" s="13"/>
      <c r="B403" s="23">
        <v>0</v>
      </c>
      <c r="C403" s="65"/>
      <c r="D403" s="19" t="s">
        <v>27</v>
      </c>
      <c r="E403" s="22"/>
      <c r="F403" s="23">
        <v>0</v>
      </c>
    </row>
    <row r="404" spans="1:6" s="92" customFormat="1" ht="23.25" x14ac:dyDescent="0.55000000000000004">
      <c r="A404" s="13"/>
      <c r="B404" s="23">
        <v>0</v>
      </c>
      <c r="C404" s="29"/>
      <c r="D404" s="19" t="s">
        <v>28</v>
      </c>
      <c r="E404" s="22"/>
      <c r="F404" s="23">
        <v>0</v>
      </c>
    </row>
    <row r="405" spans="1:6" s="92" customFormat="1" ht="23.25" x14ac:dyDescent="0.55000000000000004">
      <c r="A405" s="13"/>
      <c r="B405" s="23">
        <f>187.15+394.25+228.95+791.35</f>
        <v>1601.6999999999998</v>
      </c>
      <c r="C405" s="66"/>
      <c r="D405" s="19" t="s">
        <v>29</v>
      </c>
      <c r="E405" s="22"/>
      <c r="F405" s="23">
        <v>228.95</v>
      </c>
    </row>
    <row r="406" spans="1:6" s="92" customFormat="1" ht="23.25" x14ac:dyDescent="0.55000000000000004">
      <c r="A406" s="13"/>
      <c r="B406" s="23">
        <v>0</v>
      </c>
      <c r="C406" s="66"/>
      <c r="D406" s="19" t="s">
        <v>30</v>
      </c>
      <c r="E406" s="22"/>
      <c r="F406" s="23"/>
    </row>
    <row r="407" spans="1:6" s="92" customFormat="1" ht="23.25" x14ac:dyDescent="0.55000000000000004">
      <c r="A407" s="26"/>
      <c r="B407" s="23">
        <v>0</v>
      </c>
      <c r="C407" s="95"/>
      <c r="D407" s="19" t="s">
        <v>31</v>
      </c>
      <c r="E407" s="22" t="s">
        <v>32</v>
      </c>
      <c r="F407" s="23"/>
    </row>
    <row r="408" spans="1:6" s="92" customFormat="1" ht="23.25" x14ac:dyDescent="0.55000000000000004">
      <c r="A408" s="31"/>
      <c r="B408" s="23">
        <v>0</v>
      </c>
      <c r="C408" s="96"/>
      <c r="D408" s="19" t="s">
        <v>33</v>
      </c>
      <c r="E408" s="22" t="s">
        <v>34</v>
      </c>
      <c r="F408" s="23"/>
    </row>
    <row r="409" spans="1:6" s="92" customFormat="1" ht="23.25" x14ac:dyDescent="0.55000000000000004">
      <c r="A409" s="31"/>
      <c r="B409" s="23">
        <v>763200</v>
      </c>
      <c r="C409" s="96"/>
      <c r="D409" s="26" t="s">
        <v>35</v>
      </c>
      <c r="E409" s="22" t="s">
        <v>36</v>
      </c>
      <c r="F409" s="23"/>
    </row>
    <row r="410" spans="1:6" s="92" customFormat="1" ht="23.25" x14ac:dyDescent="0.55000000000000004">
      <c r="A410" s="31"/>
      <c r="B410" s="23">
        <f>77106.05+179271.55+39555.32+11940.5+55.15+5901.77+953.85+5419.83+140.95+22043.45+12864.5+11467+12039-45050</f>
        <v>333708.92000000004</v>
      </c>
      <c r="C410" s="96"/>
      <c r="D410" s="19" t="s">
        <v>37</v>
      </c>
      <c r="E410" s="27" t="s">
        <v>38</v>
      </c>
      <c r="F410" s="23">
        <f>140.95+22043.45+11467</f>
        <v>33651.4</v>
      </c>
    </row>
    <row r="411" spans="1:6" s="92" customFormat="1" ht="23.25" x14ac:dyDescent="0.55000000000000004">
      <c r="A411" s="31"/>
      <c r="B411" s="23"/>
      <c r="C411" s="96"/>
      <c r="D411" s="19" t="s">
        <v>538</v>
      </c>
      <c r="E411" s="22" t="s">
        <v>39</v>
      </c>
      <c r="F411" s="23"/>
    </row>
    <row r="412" spans="1:6" s="92" customFormat="1" ht="23.25" x14ac:dyDescent="0.55000000000000004">
      <c r="A412" s="31"/>
      <c r="B412" s="23">
        <f>21800+186690+142415</f>
        <v>350905</v>
      </c>
      <c r="C412" s="96"/>
      <c r="D412" s="33" t="s">
        <v>539</v>
      </c>
      <c r="E412" s="32"/>
      <c r="F412" s="23"/>
    </row>
    <row r="413" spans="1:6" s="92" customFormat="1" ht="23.25" x14ac:dyDescent="0.55000000000000004">
      <c r="A413" s="31"/>
      <c r="B413" s="23">
        <f>1090+3420+2280</f>
        <v>6790</v>
      </c>
      <c r="C413" s="96"/>
      <c r="D413" s="33" t="s">
        <v>515</v>
      </c>
      <c r="E413" s="32"/>
      <c r="F413" s="23"/>
    </row>
    <row r="414" spans="1:6" s="92" customFormat="1" ht="23.25" x14ac:dyDescent="0.55000000000000004">
      <c r="A414" s="31"/>
      <c r="B414" s="23"/>
      <c r="C414" s="96"/>
      <c r="D414" s="33" t="s">
        <v>40</v>
      </c>
      <c r="E414" s="34"/>
      <c r="F414" s="23"/>
    </row>
    <row r="415" spans="1:6" s="92" customFormat="1" ht="23.25" x14ac:dyDescent="0.55000000000000004">
      <c r="A415" s="31"/>
      <c r="B415" s="23">
        <f>1284600+2997400</f>
        <v>4282000</v>
      </c>
      <c r="C415" s="93"/>
      <c r="D415" s="33" t="s">
        <v>527</v>
      </c>
      <c r="E415" s="22"/>
      <c r="F415" s="23"/>
    </row>
    <row r="416" spans="1:6" s="92" customFormat="1" ht="23.25" x14ac:dyDescent="0.55000000000000004">
      <c r="A416" s="31"/>
      <c r="B416" s="23">
        <f>6383.34+169</f>
        <v>6552.34</v>
      </c>
      <c r="C416" s="96"/>
      <c r="D416" s="438" t="s">
        <v>42</v>
      </c>
      <c r="E416" s="22"/>
      <c r="F416" s="23"/>
    </row>
    <row r="417" spans="1:6" s="92" customFormat="1" ht="23.25" x14ac:dyDescent="0.55000000000000004">
      <c r="A417" s="31"/>
      <c r="B417" s="23">
        <v>50400</v>
      </c>
      <c r="C417" s="96"/>
      <c r="D417" s="438" t="s">
        <v>524</v>
      </c>
      <c r="E417" s="22"/>
      <c r="F417" s="23"/>
    </row>
    <row r="418" spans="1:6" s="92" customFormat="1" ht="23.25" x14ac:dyDescent="0.55000000000000004">
      <c r="A418" s="31"/>
      <c r="B418" s="23">
        <f>1011900+674600</f>
        <v>1686500</v>
      </c>
      <c r="C418" s="96"/>
      <c r="D418" s="438" t="s">
        <v>525</v>
      </c>
      <c r="E418" s="22"/>
      <c r="F418" s="23"/>
    </row>
    <row r="419" spans="1:6" s="92" customFormat="1" ht="23.25" x14ac:dyDescent="0.55000000000000004">
      <c r="A419" s="31"/>
      <c r="B419" s="23">
        <f>136800+136800</f>
        <v>273600</v>
      </c>
      <c r="C419" s="96"/>
      <c r="D419" s="438" t="s">
        <v>526</v>
      </c>
      <c r="E419" s="22"/>
      <c r="F419" s="23"/>
    </row>
    <row r="420" spans="1:6" s="92" customFormat="1" ht="23.25" x14ac:dyDescent="0.55000000000000004">
      <c r="A420" s="31"/>
      <c r="B420" s="23">
        <f>430+24701</f>
        <v>25131</v>
      </c>
      <c r="C420" s="96"/>
      <c r="D420" s="438" t="s">
        <v>528</v>
      </c>
      <c r="E420" s="22"/>
      <c r="F420" s="23">
        <v>24701</v>
      </c>
    </row>
    <row r="421" spans="1:6" s="92" customFormat="1" ht="23.25" x14ac:dyDescent="0.55000000000000004">
      <c r="A421" s="31"/>
      <c r="B421" s="23">
        <f>393350+38750+41378+45050</f>
        <v>518528</v>
      </c>
      <c r="C421" s="96"/>
      <c r="D421" s="438" t="s">
        <v>532</v>
      </c>
      <c r="E421" s="22"/>
      <c r="F421" s="23">
        <v>41378</v>
      </c>
    </row>
    <row r="422" spans="1:6" s="92" customFormat="1" ht="23.25" x14ac:dyDescent="0.55000000000000004">
      <c r="A422" s="31"/>
      <c r="B422" s="23">
        <v>82.43</v>
      </c>
      <c r="C422" s="437"/>
      <c r="D422" s="438" t="s">
        <v>533</v>
      </c>
      <c r="E422" s="22"/>
      <c r="F422" s="23"/>
    </row>
    <row r="423" spans="1:6" s="92" customFormat="1" ht="23.25" x14ac:dyDescent="0.55000000000000004">
      <c r="A423" s="31"/>
      <c r="B423" s="23">
        <v>2250</v>
      </c>
      <c r="C423" s="93"/>
      <c r="D423" s="19" t="s">
        <v>534</v>
      </c>
      <c r="E423" s="22"/>
      <c r="F423" s="23"/>
    </row>
    <row r="424" spans="1:6" s="92" customFormat="1" ht="23.25" x14ac:dyDescent="0.55000000000000004">
      <c r="A424" s="31"/>
      <c r="B424" s="23"/>
      <c r="C424" s="93"/>
      <c r="D424" s="19" t="s">
        <v>543</v>
      </c>
      <c r="E424" s="22"/>
      <c r="F424" s="23"/>
    </row>
    <row r="425" spans="1:6" s="92" customFormat="1" ht="23.25" x14ac:dyDescent="0.55000000000000004">
      <c r="A425" s="31"/>
      <c r="B425" s="23">
        <v>0</v>
      </c>
      <c r="C425" s="383"/>
      <c r="D425" s="19"/>
      <c r="E425" s="384"/>
      <c r="F425" s="23">
        <v>0</v>
      </c>
    </row>
    <row r="426" spans="1:6" s="92" customFormat="1" ht="23.25" x14ac:dyDescent="0.55000000000000004">
      <c r="A426" s="31"/>
      <c r="B426" s="23">
        <v>0</v>
      </c>
      <c r="C426" s="96"/>
      <c r="D426" s="30"/>
      <c r="E426" s="22"/>
      <c r="F426" s="23">
        <v>0</v>
      </c>
    </row>
    <row r="427" spans="1:6" s="92" customFormat="1" ht="23.25" x14ac:dyDescent="0.55000000000000004">
      <c r="A427" s="31"/>
      <c r="B427" s="35">
        <f>SUM(B403:B426)</f>
        <v>8301249.3899999997</v>
      </c>
      <c r="C427" s="824" t="s">
        <v>43</v>
      </c>
      <c r="D427" s="823"/>
      <c r="E427" s="56"/>
      <c r="F427" s="25">
        <f>SUM(F403:F426)</f>
        <v>99959.35</v>
      </c>
    </row>
    <row r="428" spans="1:6" s="92" customFormat="1" ht="23.25" x14ac:dyDescent="0.55000000000000004">
      <c r="A428" s="31"/>
      <c r="B428" s="36">
        <f>SUM(B427+B402)</f>
        <v>16234653.460000001</v>
      </c>
      <c r="C428" s="454"/>
      <c r="D428" s="454"/>
      <c r="E428" s="56"/>
      <c r="F428" s="37">
        <f>SUM(F427+F402)</f>
        <v>2102091.73</v>
      </c>
    </row>
    <row r="429" spans="1:6" s="92" customFormat="1" ht="24" x14ac:dyDescent="0.55000000000000004">
      <c r="A429" s="38"/>
      <c r="B429" s="39"/>
      <c r="C429" s="40"/>
      <c r="D429" s="40"/>
      <c r="E429" s="41"/>
      <c r="F429" s="42"/>
    </row>
    <row r="430" spans="1:6" s="92" customFormat="1" ht="24" x14ac:dyDescent="0.55000000000000004">
      <c r="A430" s="38"/>
      <c r="B430" s="39"/>
      <c r="C430" s="40"/>
      <c r="D430" s="40"/>
      <c r="E430" s="41"/>
      <c r="F430" s="42"/>
    </row>
    <row r="431" spans="1:6" s="92" customFormat="1" ht="24.75" thickBot="1" x14ac:dyDescent="0.6">
      <c r="A431" s="38"/>
      <c r="B431" s="39"/>
      <c r="C431" s="40"/>
      <c r="D431" s="40"/>
      <c r="E431" s="41"/>
      <c r="F431" s="42"/>
    </row>
    <row r="432" spans="1:6" s="92" customFormat="1" ht="22.5" thickTop="1" x14ac:dyDescent="0.5">
      <c r="A432" s="829" t="s">
        <v>4</v>
      </c>
      <c r="B432" s="830"/>
      <c r="C432" s="831"/>
      <c r="D432" s="832"/>
      <c r="E432" s="5"/>
      <c r="F432" s="6" t="s">
        <v>5</v>
      </c>
    </row>
    <row r="433" spans="1:6" s="92" customFormat="1" ht="21.75" x14ac:dyDescent="0.5">
      <c r="A433" s="7" t="s">
        <v>6</v>
      </c>
      <c r="B433" s="456" t="s">
        <v>7</v>
      </c>
      <c r="C433" s="819" t="s">
        <v>10</v>
      </c>
      <c r="D433" s="820"/>
      <c r="E433" s="8" t="s">
        <v>8</v>
      </c>
      <c r="F433" s="9" t="s">
        <v>7</v>
      </c>
    </row>
    <row r="434" spans="1:6" s="92" customFormat="1" ht="22.5" thickBot="1" x14ac:dyDescent="0.55000000000000004">
      <c r="A434" s="10" t="s">
        <v>9</v>
      </c>
      <c r="B434" s="457" t="s">
        <v>9</v>
      </c>
      <c r="C434" s="821"/>
      <c r="D434" s="822"/>
      <c r="E434" s="11" t="s">
        <v>11</v>
      </c>
      <c r="F434" s="10" t="s">
        <v>9</v>
      </c>
    </row>
    <row r="435" spans="1:6" s="92" customFormat="1" ht="24" thickTop="1" x14ac:dyDescent="0.55000000000000004">
      <c r="A435" s="43"/>
      <c r="B435" s="13"/>
      <c r="C435" s="44" t="s">
        <v>44</v>
      </c>
      <c r="D435" s="15"/>
      <c r="E435" s="16"/>
      <c r="F435" s="17"/>
    </row>
    <row r="436" spans="1:6" s="92" customFormat="1" ht="23.25" x14ac:dyDescent="0.55000000000000004">
      <c r="A436" s="23">
        <v>1536160</v>
      </c>
      <c r="B436" s="24">
        <f>2500+13795.5+24813+15364.5+257191.2+523619.6</f>
        <v>837283.8</v>
      </c>
      <c r="C436" s="20"/>
      <c r="D436" s="30" t="s">
        <v>41</v>
      </c>
      <c r="E436" s="22" t="s">
        <v>45</v>
      </c>
      <c r="F436" s="23">
        <v>523619.6</v>
      </c>
    </row>
    <row r="437" spans="1:6" s="92" customFormat="1" ht="23.25" x14ac:dyDescent="0.55000000000000004">
      <c r="A437" s="97">
        <v>2624640</v>
      </c>
      <c r="B437" s="24">
        <f>218720+218720+218720+218720+218720</f>
        <v>1093600</v>
      </c>
      <c r="C437" s="29"/>
      <c r="D437" s="30" t="s">
        <v>46</v>
      </c>
      <c r="E437" s="22" t="s">
        <v>47</v>
      </c>
      <c r="F437" s="23">
        <v>218720</v>
      </c>
    </row>
    <row r="438" spans="1:6" s="92" customFormat="1" ht="23.25" x14ac:dyDescent="0.55000000000000004">
      <c r="A438" s="98">
        <f>4541000+35000+1527000</f>
        <v>6103000</v>
      </c>
      <c r="B438" s="24">
        <f>393371.37+452770+451790+658236.2-257191.2+515839</f>
        <v>2214815.37</v>
      </c>
      <c r="C438" s="29"/>
      <c r="D438" s="30" t="s">
        <v>48</v>
      </c>
      <c r="E438" s="22" t="s">
        <v>47</v>
      </c>
      <c r="F438" s="24">
        <v>515839</v>
      </c>
    </row>
    <row r="439" spans="1:6" s="92" customFormat="1" ht="23.25" x14ac:dyDescent="0.55000000000000004">
      <c r="A439" s="23">
        <f>110000+10000+76000</f>
        <v>196000</v>
      </c>
      <c r="B439" s="24">
        <f>3500+22700+18020+6170+7700</f>
        <v>58090</v>
      </c>
      <c r="C439" s="29"/>
      <c r="D439" s="30" t="s">
        <v>49</v>
      </c>
      <c r="E439" s="22" t="s">
        <v>47</v>
      </c>
      <c r="F439" s="23">
        <v>7700</v>
      </c>
    </row>
    <row r="440" spans="1:6" s="92" customFormat="1" ht="23.25" x14ac:dyDescent="0.55000000000000004">
      <c r="A440" s="23">
        <f>399000+210000+450000+100000+20000+80000+110000+880000+10000+100000</f>
        <v>2359000</v>
      </c>
      <c r="B440" s="24">
        <f>126305+47540+157877+175805.73+330000+86823</f>
        <v>924350.73</v>
      </c>
      <c r="C440" s="29"/>
      <c r="D440" s="30" t="s">
        <v>50</v>
      </c>
      <c r="E440" s="22" t="s">
        <v>51</v>
      </c>
      <c r="F440" s="23">
        <v>86823</v>
      </c>
    </row>
    <row r="441" spans="1:6" s="92" customFormat="1" ht="23.25" x14ac:dyDescent="0.55000000000000004">
      <c r="A441" s="23">
        <f>374000+55000+510000+20000+300000+10000+400000</f>
        <v>1669000</v>
      </c>
      <c r="B441" s="23">
        <f>8670+35781+199291.9+174658.67</f>
        <v>418401.57</v>
      </c>
      <c r="C441" s="29"/>
      <c r="D441" s="30" t="s">
        <v>52</v>
      </c>
      <c r="E441" s="22" t="s">
        <v>53</v>
      </c>
      <c r="F441" s="23">
        <v>174658.67</v>
      </c>
    </row>
    <row r="442" spans="1:6" s="92" customFormat="1" ht="23.25" x14ac:dyDescent="0.55000000000000004">
      <c r="A442" s="23">
        <f>271000+1100000</f>
        <v>1371000</v>
      </c>
      <c r="B442" s="24">
        <f>115218.49+932+105203.83+119261.79+219683.14</f>
        <v>560299.25</v>
      </c>
      <c r="C442" s="29"/>
      <c r="D442" s="30" t="s">
        <v>54</v>
      </c>
      <c r="E442" s="22" t="s">
        <v>55</v>
      </c>
      <c r="F442" s="24">
        <v>219683.14</v>
      </c>
    </row>
    <row r="443" spans="1:6" s="92" customFormat="1" ht="23.25" x14ac:dyDescent="0.55000000000000004">
      <c r="A443" s="23">
        <f>740000+105000+20000</f>
        <v>865000</v>
      </c>
      <c r="B443" s="24">
        <f>217000+167000</f>
        <v>384000</v>
      </c>
      <c r="C443" s="29"/>
      <c r="D443" s="30" t="s">
        <v>25</v>
      </c>
      <c r="E443" s="22" t="s">
        <v>56</v>
      </c>
      <c r="F443" s="24">
        <v>0</v>
      </c>
    </row>
    <row r="444" spans="1:6" s="92" customFormat="1" ht="23.25" x14ac:dyDescent="0.55000000000000004">
      <c r="A444" s="23">
        <f>208100+100000+9600+256000</f>
        <v>573700</v>
      </c>
      <c r="B444" s="24">
        <v>223683.23</v>
      </c>
      <c r="C444" s="29"/>
      <c r="D444" s="30" t="s">
        <v>57</v>
      </c>
      <c r="E444" s="22" t="s">
        <v>58</v>
      </c>
      <c r="F444" s="24">
        <v>223683.23</v>
      </c>
    </row>
    <row r="445" spans="1:6" s="92" customFormat="1" ht="23.25" x14ac:dyDescent="0.55000000000000004">
      <c r="A445" s="24">
        <v>4682500</v>
      </c>
      <c r="B445" s="24"/>
      <c r="C445" s="29"/>
      <c r="D445" s="30" t="s">
        <v>59</v>
      </c>
      <c r="E445" s="22" t="s">
        <v>60</v>
      </c>
      <c r="F445" s="24">
        <v>0</v>
      </c>
    </row>
    <row r="446" spans="1:6" s="92" customFormat="1" ht="23.25" x14ac:dyDescent="0.55000000000000004">
      <c r="A446" s="23">
        <v>20000</v>
      </c>
      <c r="B446" s="23">
        <v>0</v>
      </c>
      <c r="C446" s="29"/>
      <c r="D446" s="30" t="s">
        <v>61</v>
      </c>
      <c r="E446" s="22" t="s">
        <v>62</v>
      </c>
      <c r="F446" s="23">
        <v>0</v>
      </c>
    </row>
    <row r="447" spans="1:6" s="92" customFormat="1" ht="23.25" x14ac:dyDescent="0.55000000000000004">
      <c r="A447" s="17"/>
      <c r="B447" s="17"/>
      <c r="C447" s="29"/>
      <c r="D447" s="31"/>
      <c r="E447" s="27"/>
      <c r="F447" s="17">
        <v>0</v>
      </c>
    </row>
    <row r="448" spans="1:6" s="92" customFormat="1" ht="24" thickBot="1" x14ac:dyDescent="0.6">
      <c r="A448" s="28">
        <f>SUM(A436:A447)</f>
        <v>22000000</v>
      </c>
      <c r="B448" s="28">
        <f>SUM(B436:B447)</f>
        <v>6714523.9500000011</v>
      </c>
      <c r="C448" s="45"/>
      <c r="D448" s="46" t="s">
        <v>13</v>
      </c>
      <c r="E448" s="28" t="s">
        <v>13</v>
      </c>
      <c r="F448" s="28">
        <f>SUM(F436:F447)</f>
        <v>1970726.6400000001</v>
      </c>
    </row>
    <row r="449" spans="1:6" s="92" customFormat="1" ht="24" thickTop="1" x14ac:dyDescent="0.55000000000000004">
      <c r="A449" s="465"/>
      <c r="B449" s="47"/>
      <c r="C449" s="48"/>
      <c r="D449" s="49"/>
      <c r="E449" s="50"/>
      <c r="F449" s="50"/>
    </row>
    <row r="450" spans="1:6" s="92" customFormat="1" ht="23.25" x14ac:dyDescent="0.55000000000000004">
      <c r="A450" s="466"/>
      <c r="B450" s="24">
        <v>0</v>
      </c>
      <c r="C450" s="20"/>
      <c r="D450" s="30" t="s">
        <v>321</v>
      </c>
      <c r="E450" s="22"/>
      <c r="F450" s="23">
        <v>0</v>
      </c>
    </row>
    <row r="451" spans="1:6" s="92" customFormat="1" ht="23.25" x14ac:dyDescent="0.55000000000000004">
      <c r="A451" s="466"/>
      <c r="B451" s="24">
        <f>672000+334100+332300+331100</f>
        <v>1669500</v>
      </c>
      <c r="C451" s="20"/>
      <c r="D451" s="30" t="s">
        <v>63</v>
      </c>
      <c r="E451" s="22"/>
      <c r="F451" s="23">
        <v>331100</v>
      </c>
    </row>
    <row r="452" spans="1:6" s="92" customFormat="1" ht="23.25" x14ac:dyDescent="0.55000000000000004">
      <c r="A452" s="466"/>
      <c r="B452" s="24">
        <f>91200+45600+45600+44800</f>
        <v>227200</v>
      </c>
      <c r="C452" s="20"/>
      <c r="D452" s="30" t="s">
        <v>64</v>
      </c>
      <c r="E452" s="22"/>
      <c r="F452" s="23">
        <v>44800</v>
      </c>
    </row>
    <row r="453" spans="1:6" s="92" customFormat="1" ht="23.25" x14ac:dyDescent="0.55000000000000004">
      <c r="A453" s="413"/>
      <c r="B453" s="24"/>
      <c r="C453" s="29"/>
      <c r="D453" s="30" t="s">
        <v>65</v>
      </c>
      <c r="E453" s="22"/>
      <c r="F453" s="24"/>
    </row>
    <row r="454" spans="1:6" s="92" customFormat="1" ht="23.25" x14ac:dyDescent="0.55000000000000004">
      <c r="A454" s="466"/>
      <c r="B454" s="45">
        <f>443000+458000+952000</f>
        <v>1853000</v>
      </c>
      <c r="C454" s="45"/>
      <c r="D454" s="46" t="s">
        <v>33</v>
      </c>
      <c r="E454" s="23"/>
      <c r="F454" s="23">
        <v>952000</v>
      </c>
    </row>
    <row r="455" spans="1:6" s="92" customFormat="1" ht="23.25" x14ac:dyDescent="0.55000000000000004">
      <c r="A455" s="31"/>
      <c r="B455" s="51">
        <f>961000+760000+59000</f>
        <v>1780000</v>
      </c>
      <c r="C455" s="29"/>
      <c r="D455" s="30" t="s">
        <v>67</v>
      </c>
      <c r="E455" s="22" t="s">
        <v>68</v>
      </c>
      <c r="F455" s="23">
        <v>59000</v>
      </c>
    </row>
    <row r="456" spans="1:6" s="92" customFormat="1" ht="23.25" x14ac:dyDescent="0.55000000000000004">
      <c r="A456" s="31"/>
      <c r="B456" s="51">
        <f>330000+23400</f>
        <v>353400</v>
      </c>
      <c r="C456" s="29"/>
      <c r="D456" s="31" t="s">
        <v>66</v>
      </c>
      <c r="E456" s="27" t="s">
        <v>32</v>
      </c>
      <c r="F456" s="17">
        <v>23400</v>
      </c>
    </row>
    <row r="457" spans="1:6" s="92" customFormat="1" ht="23.25" x14ac:dyDescent="0.55000000000000004">
      <c r="A457" s="31"/>
      <c r="B457" s="51">
        <f>382100+381100</f>
        <v>763200</v>
      </c>
      <c r="C457" s="29"/>
      <c r="D457" s="30" t="s">
        <v>69</v>
      </c>
      <c r="E457" s="22" t="s">
        <v>36</v>
      </c>
      <c r="F457" s="24"/>
    </row>
    <row r="458" spans="1:6" s="92" customFormat="1" ht="23.25" x14ac:dyDescent="0.55000000000000004">
      <c r="A458" s="31"/>
      <c r="B458" s="51">
        <f>16513.35+21992.05+39555.32+5901.77+5419.83</f>
        <v>89382.32</v>
      </c>
      <c r="C458" s="29"/>
      <c r="D458" s="30" t="s">
        <v>70</v>
      </c>
      <c r="E458" s="22" t="s">
        <v>38</v>
      </c>
      <c r="F458" s="24">
        <v>5419.83</v>
      </c>
    </row>
    <row r="459" spans="1:6" s="92" customFormat="1" ht="23.25" x14ac:dyDescent="0.55000000000000004">
      <c r="A459" s="31"/>
      <c r="B459" s="23">
        <f>11295.5+10709+12864.5+12039</f>
        <v>46908</v>
      </c>
      <c r="C459" s="19"/>
      <c r="D459" s="30" t="s">
        <v>493</v>
      </c>
      <c r="E459" s="53"/>
      <c r="F459" s="24">
        <v>12039</v>
      </c>
    </row>
    <row r="460" spans="1:6" s="92" customFormat="1" ht="23.25" x14ac:dyDescent="0.55000000000000004">
      <c r="A460" s="31"/>
      <c r="B460" s="24"/>
      <c r="C460" s="19"/>
      <c r="D460" s="52" t="s">
        <v>105</v>
      </c>
      <c r="E460" s="53"/>
      <c r="F460" s="24"/>
    </row>
    <row r="461" spans="1:6" s="92" customFormat="1" ht="23.25" x14ac:dyDescent="0.55000000000000004">
      <c r="A461" s="31"/>
      <c r="B461" s="24"/>
      <c r="C461" s="19"/>
      <c r="D461" s="30" t="s">
        <v>71</v>
      </c>
      <c r="E461" s="22"/>
      <c r="F461" s="24"/>
    </row>
    <row r="462" spans="1:6" s="92" customFormat="1" ht="23.25" x14ac:dyDescent="0.55000000000000004">
      <c r="A462" s="31"/>
      <c r="B462" s="24">
        <f>308000+395000</f>
        <v>703000</v>
      </c>
      <c r="C462" s="29"/>
      <c r="D462" s="30" t="s">
        <v>102</v>
      </c>
      <c r="E462" s="22"/>
      <c r="F462" s="24">
        <v>395000</v>
      </c>
    </row>
    <row r="463" spans="1:6" s="92" customFormat="1" ht="23.25" x14ac:dyDescent="0.55000000000000004">
      <c r="A463" s="31"/>
      <c r="B463" s="98">
        <f>61820+115526.5+61440</f>
        <v>238786.5</v>
      </c>
      <c r="C463" s="394"/>
      <c r="D463" s="30" t="s">
        <v>494</v>
      </c>
      <c r="E463" s="384"/>
      <c r="F463" s="98">
        <v>61440</v>
      </c>
    </row>
    <row r="464" spans="1:6" s="92" customFormat="1" ht="24" x14ac:dyDescent="0.55000000000000004">
      <c r="A464" s="31"/>
      <c r="B464" s="24">
        <f>5500+8600+129440</f>
        <v>143540</v>
      </c>
      <c r="C464" s="29"/>
      <c r="D464" s="439" t="s">
        <v>529</v>
      </c>
      <c r="E464" s="22"/>
      <c r="F464" s="24"/>
    </row>
    <row r="465" spans="1:6" s="92" customFormat="1" ht="24" x14ac:dyDescent="0.55000000000000004">
      <c r="A465" s="31"/>
      <c r="B465" s="24">
        <v>179250</v>
      </c>
      <c r="C465" s="29"/>
      <c r="D465" s="439" t="s">
        <v>535</v>
      </c>
      <c r="E465" s="22"/>
      <c r="F465" s="24"/>
    </row>
    <row r="466" spans="1:6" s="92" customFormat="1" ht="23.25" x14ac:dyDescent="0.55000000000000004">
      <c r="A466" s="31"/>
      <c r="B466" s="54">
        <f>1284600+2997400</f>
        <v>4282000</v>
      </c>
      <c r="C466" s="29"/>
      <c r="D466" s="30" t="s">
        <v>517</v>
      </c>
      <c r="E466" s="22"/>
      <c r="F466" s="55"/>
    </row>
    <row r="467" spans="1:6" s="92" customFormat="1" ht="23.25" x14ac:dyDescent="0.55000000000000004">
      <c r="A467" s="31"/>
      <c r="B467" s="37">
        <f>SUM(B450:B466)</f>
        <v>12329166.82</v>
      </c>
      <c r="C467" s="823" t="s">
        <v>72</v>
      </c>
      <c r="D467" s="823"/>
      <c r="E467" s="56"/>
      <c r="F467" s="37">
        <f>SUM(F450:F466)</f>
        <v>1884198.83</v>
      </c>
    </row>
    <row r="468" spans="1:6" s="92" customFormat="1" ht="23.25" x14ac:dyDescent="0.55000000000000004">
      <c r="A468" s="31"/>
      <c r="B468" s="57">
        <f>SUM(B467+B448)</f>
        <v>19043690.770000003</v>
      </c>
      <c r="C468" s="824" t="s">
        <v>73</v>
      </c>
      <c r="D468" s="823"/>
      <c r="E468" s="56"/>
      <c r="F468" s="37">
        <f>SUM(F467+F448)</f>
        <v>3854925.47</v>
      </c>
    </row>
    <row r="469" spans="1:6" s="92" customFormat="1" ht="23.25" x14ac:dyDescent="0.55000000000000004">
      <c r="A469" s="31"/>
      <c r="B469" s="37"/>
      <c r="C469" s="824" t="s">
        <v>74</v>
      </c>
      <c r="D469" s="823"/>
      <c r="E469" s="56"/>
      <c r="F469" s="37" t="s">
        <v>13</v>
      </c>
    </row>
    <row r="470" spans="1:6" s="92" customFormat="1" ht="23.25" x14ac:dyDescent="0.55000000000000004">
      <c r="A470" s="31"/>
      <c r="B470" s="58">
        <f>SUM(B428-B468)</f>
        <v>-2809037.3100000024</v>
      </c>
      <c r="C470" s="824" t="s">
        <v>75</v>
      </c>
      <c r="D470" s="823"/>
      <c r="E470" s="56"/>
      <c r="F470" s="59">
        <f>SUM(F428-F468)</f>
        <v>-1752833.7400000002</v>
      </c>
    </row>
    <row r="471" spans="1:6" s="92" customFormat="1" ht="23.25" x14ac:dyDescent="0.55000000000000004">
      <c r="A471" s="31"/>
      <c r="B471" s="60">
        <f>SUM(B470+B392)</f>
        <v>10857941.999999998</v>
      </c>
      <c r="C471" s="824"/>
      <c r="D471" s="823"/>
      <c r="E471" s="56"/>
      <c r="F471" s="37">
        <f>SUM(F470+F392)</f>
        <v>10857942</v>
      </c>
    </row>
    <row r="472" spans="1:6" s="92" customFormat="1" ht="21.75" x14ac:dyDescent="0.5">
      <c r="A472" s="61"/>
      <c r="B472" s="61"/>
      <c r="C472" s="456"/>
      <c r="D472" s="456"/>
      <c r="E472" s="62"/>
      <c r="F472" s="63"/>
    </row>
    <row r="473" spans="1:6" s="826" customFormat="1" ht="18.75" x14ac:dyDescent="0.45">
      <c r="A473" s="825" t="s">
        <v>547</v>
      </c>
    </row>
    <row r="474" spans="1:6" s="99" customFormat="1" ht="18.75" x14ac:dyDescent="0.45">
      <c r="A474" s="455" t="s">
        <v>546</v>
      </c>
      <c r="B474" s="455"/>
      <c r="C474" s="455"/>
      <c r="D474" s="455"/>
      <c r="E474" s="455"/>
      <c r="F474" s="455"/>
    </row>
    <row r="475" spans="1:6" s="99" customFormat="1" ht="18.75" x14ac:dyDescent="0.45">
      <c r="A475" s="455" t="s">
        <v>519</v>
      </c>
      <c r="B475" s="455"/>
      <c r="C475" s="455"/>
      <c r="D475" s="455"/>
      <c r="E475" s="455"/>
      <c r="F475" s="455"/>
    </row>
    <row r="476" spans="1:6" s="92" customFormat="1" ht="18.75" x14ac:dyDescent="0.45">
      <c r="A476" s="455"/>
      <c r="B476" s="455"/>
      <c r="C476" s="455"/>
      <c r="D476" s="455" t="s">
        <v>545</v>
      </c>
      <c r="E476" s="455"/>
      <c r="F476" s="455"/>
    </row>
    <row r="477" spans="1:6" s="92" customFormat="1" ht="18.75" x14ac:dyDescent="0.45">
      <c r="A477" s="561"/>
      <c r="B477" s="561"/>
      <c r="C477" s="561"/>
      <c r="D477" s="561"/>
      <c r="E477" s="561"/>
      <c r="F477" s="561"/>
    </row>
    <row r="478" spans="1:6" s="92" customFormat="1" ht="18.75" x14ac:dyDescent="0.45">
      <c r="A478" s="561"/>
      <c r="B478" s="561"/>
      <c r="C478" s="561"/>
      <c r="D478" s="561"/>
      <c r="E478" s="561"/>
      <c r="F478" s="561"/>
    </row>
    <row r="479" spans="1:6" s="92" customFormat="1" ht="18.75" x14ac:dyDescent="0.45">
      <c r="A479" s="561"/>
      <c r="B479" s="561"/>
      <c r="C479" s="561"/>
      <c r="D479" s="561"/>
      <c r="E479" s="561"/>
      <c r="F479" s="561"/>
    </row>
    <row r="480" spans="1:6" s="92" customFormat="1" ht="18.75" x14ac:dyDescent="0.45">
      <c r="A480" s="561"/>
      <c r="B480" s="561"/>
      <c r="C480" s="561"/>
      <c r="D480" s="561"/>
      <c r="E480" s="561"/>
      <c r="F480" s="561"/>
    </row>
    <row r="481" spans="1:6" s="92" customFormat="1" ht="24" x14ac:dyDescent="0.55000000000000004">
      <c r="A481" s="827" t="s">
        <v>0</v>
      </c>
      <c r="B481" s="827"/>
      <c r="C481" s="827"/>
      <c r="D481" s="827"/>
      <c r="E481" s="827"/>
      <c r="F481" s="827"/>
    </row>
    <row r="482" spans="1:6" s="92" customFormat="1" ht="24" x14ac:dyDescent="0.55000000000000004">
      <c r="A482" s="827" t="s">
        <v>1</v>
      </c>
      <c r="B482" s="827"/>
      <c r="C482" s="827"/>
      <c r="D482" s="827"/>
      <c r="E482" s="827"/>
      <c r="F482" s="827"/>
    </row>
    <row r="483" spans="1:6" s="92" customFormat="1" ht="24" x14ac:dyDescent="0.55000000000000004">
      <c r="A483" s="538"/>
      <c r="B483" s="538"/>
      <c r="C483" s="538"/>
      <c r="D483" s="538"/>
      <c r="E483" s="1" t="s">
        <v>544</v>
      </c>
      <c r="F483" s="2"/>
    </row>
    <row r="484" spans="1:6" s="92" customFormat="1" ht="30.75" x14ac:dyDescent="0.7">
      <c r="A484" s="828" t="s">
        <v>2</v>
      </c>
      <c r="B484" s="828"/>
      <c r="C484" s="828"/>
      <c r="D484" s="828"/>
      <c r="E484" s="828"/>
      <c r="F484" s="828"/>
    </row>
    <row r="485" spans="1:6" s="92" customFormat="1" ht="24.75" thickBot="1" x14ac:dyDescent="0.6">
      <c r="A485" s="3" t="s">
        <v>3</v>
      </c>
      <c r="B485" s="3"/>
      <c r="C485" s="3"/>
      <c r="D485" s="1" t="s">
        <v>614</v>
      </c>
      <c r="E485" s="1"/>
      <c r="F485" s="3"/>
    </row>
    <row r="486" spans="1:6" s="92" customFormat="1" ht="22.5" thickTop="1" x14ac:dyDescent="0.5">
      <c r="A486" s="829" t="s">
        <v>4</v>
      </c>
      <c r="B486" s="830"/>
      <c r="C486" s="831"/>
      <c r="D486" s="832"/>
      <c r="E486" s="5"/>
      <c r="F486" s="6" t="s">
        <v>5</v>
      </c>
    </row>
    <row r="487" spans="1:6" s="92" customFormat="1" ht="21.75" x14ac:dyDescent="0.5">
      <c r="A487" s="7" t="s">
        <v>6</v>
      </c>
      <c r="B487" s="7" t="s">
        <v>7</v>
      </c>
      <c r="E487" s="8" t="s">
        <v>8</v>
      </c>
      <c r="F487" s="9" t="s">
        <v>7</v>
      </c>
    </row>
    <row r="488" spans="1:6" s="92" customFormat="1" ht="22.5" thickBot="1" x14ac:dyDescent="0.55000000000000004">
      <c r="A488" s="10" t="s">
        <v>9</v>
      </c>
      <c r="B488" s="542" t="s">
        <v>9</v>
      </c>
      <c r="C488" s="819" t="s">
        <v>10</v>
      </c>
      <c r="D488" s="820"/>
      <c r="E488" s="11" t="s">
        <v>11</v>
      </c>
      <c r="F488" s="10" t="s">
        <v>9</v>
      </c>
    </row>
    <row r="489" spans="1:6" s="92" customFormat="1" ht="24" thickTop="1" x14ac:dyDescent="0.55000000000000004">
      <c r="A489" s="12"/>
      <c r="B489" s="13">
        <v>13666979.310000001</v>
      </c>
      <c r="C489" s="14" t="s">
        <v>12</v>
      </c>
      <c r="D489" s="15"/>
      <c r="E489" s="16"/>
      <c r="F489" s="17">
        <f>+F471</f>
        <v>10857942</v>
      </c>
    </row>
    <row r="490" spans="1:6" s="92" customFormat="1" ht="23.25" x14ac:dyDescent="0.55000000000000004">
      <c r="A490" s="18"/>
      <c r="B490" s="19" t="s">
        <v>13</v>
      </c>
      <c r="C490" s="20" t="s">
        <v>14</v>
      </c>
      <c r="D490" s="21"/>
      <c r="E490" s="22"/>
      <c r="F490" s="23"/>
    </row>
    <row r="491" spans="1:6" s="92" customFormat="1" ht="23.25" x14ac:dyDescent="0.55000000000000004">
      <c r="A491" s="23">
        <v>4070000</v>
      </c>
      <c r="B491" s="23">
        <f>24851.32+653.6+2296.15+837656.77+4155543.48</f>
        <v>5021001.32</v>
      </c>
      <c r="C491" s="93"/>
      <c r="D491" s="19" t="s">
        <v>15</v>
      </c>
      <c r="E491" s="22" t="s">
        <v>16</v>
      </c>
      <c r="F491" s="23">
        <v>4155543.48</v>
      </c>
    </row>
    <row r="492" spans="1:6" s="92" customFormat="1" ht="23.25" x14ac:dyDescent="0.55000000000000004">
      <c r="A492" s="23">
        <v>83000</v>
      </c>
      <c r="B492" s="24">
        <f>+B395+9138.4</f>
        <v>91087.2</v>
      </c>
      <c r="C492" s="93"/>
      <c r="D492" s="19" t="s">
        <v>17</v>
      </c>
      <c r="E492" s="22" t="s">
        <v>18</v>
      </c>
      <c r="F492" s="24">
        <v>9138.4</v>
      </c>
    </row>
    <row r="493" spans="1:6" s="92" customFormat="1" ht="23.25" x14ac:dyDescent="0.55000000000000004">
      <c r="A493" s="23">
        <v>110000</v>
      </c>
      <c r="B493" s="24">
        <f>33122.75+16284.37</f>
        <v>49407.12</v>
      </c>
      <c r="C493" s="93"/>
      <c r="D493" s="19" t="s">
        <v>19</v>
      </c>
      <c r="E493" s="22" t="s">
        <v>20</v>
      </c>
      <c r="F493" s="24">
        <v>16284.37</v>
      </c>
    </row>
    <row r="494" spans="1:6" s="92" customFormat="1" ht="23.25" x14ac:dyDescent="0.55000000000000004">
      <c r="A494" s="23">
        <v>1005000</v>
      </c>
      <c r="B494" s="24">
        <f>41413+41107+47949+77291+68760+118469</f>
        <v>394989</v>
      </c>
      <c r="C494" s="93"/>
      <c r="D494" s="19" t="s">
        <v>21</v>
      </c>
      <c r="E494" s="22" t="s">
        <v>22</v>
      </c>
      <c r="F494" s="24">
        <v>118469</v>
      </c>
    </row>
    <row r="495" spans="1:6" s="92" customFormat="1" ht="23.25" x14ac:dyDescent="0.55000000000000004">
      <c r="A495" s="23">
        <v>90000</v>
      </c>
      <c r="B495" s="23">
        <f>3500+7200</f>
        <v>10700</v>
      </c>
      <c r="C495" s="93"/>
      <c r="D495" s="19" t="s">
        <v>23</v>
      </c>
      <c r="E495" s="22" t="s">
        <v>24</v>
      </c>
      <c r="F495" s="24">
        <v>0</v>
      </c>
    </row>
    <row r="496" spans="1:6" s="92" customFormat="1" ht="23.25" x14ac:dyDescent="0.55000000000000004">
      <c r="A496" s="24">
        <v>2000</v>
      </c>
      <c r="B496" s="23">
        <v>3665</v>
      </c>
      <c r="C496" s="93"/>
      <c r="D496" s="19" t="s">
        <v>106</v>
      </c>
      <c r="E496" s="22" t="s">
        <v>26</v>
      </c>
      <c r="F496" s="23">
        <v>0</v>
      </c>
    </row>
    <row r="497" spans="1:6" s="92" customFormat="1" ht="23.25" x14ac:dyDescent="0.55000000000000004">
      <c r="A497" s="23">
        <v>11890000</v>
      </c>
      <c r="B497" s="23">
        <f>956708.22+877096.73+606176.86+458872.06+1019505.61+1018763.38-155.2-252.2-213.4-213.4</f>
        <v>4936288.6599999992</v>
      </c>
      <c r="C497" s="19"/>
      <c r="D497" s="19" t="s">
        <v>107</v>
      </c>
      <c r="E497" s="22"/>
      <c r="F497" s="23">
        <f>1018763.38-213.4</f>
        <v>1018549.98</v>
      </c>
    </row>
    <row r="498" spans="1:6" s="92" customFormat="1" ht="23.25" x14ac:dyDescent="0.55000000000000004">
      <c r="A498" s="55">
        <v>4750000</v>
      </c>
      <c r="B498" s="17">
        <f>1357655+1386596</f>
        <v>2744251</v>
      </c>
      <c r="C498" s="94"/>
      <c r="D498" s="26" t="s">
        <v>108</v>
      </c>
      <c r="E498" s="27"/>
      <c r="F498" s="17"/>
    </row>
    <row r="499" spans="1:6" s="92" customFormat="1" ht="24" thickBot="1" x14ac:dyDescent="0.6">
      <c r="A499" s="28">
        <f>SUM(A491:A498)</f>
        <v>22000000</v>
      </c>
      <c r="B499" s="28">
        <f>SUM(B491:B498)</f>
        <v>13251389.300000001</v>
      </c>
      <c r="C499" s="29"/>
      <c r="D499" s="30"/>
      <c r="E499" s="22"/>
      <c r="F499" s="28">
        <f>SUM(F491:F498)</f>
        <v>5317985.2300000004</v>
      </c>
    </row>
    <row r="500" spans="1:6" s="92" customFormat="1" ht="24" thickTop="1" x14ac:dyDescent="0.55000000000000004">
      <c r="A500" s="13"/>
      <c r="B500" s="23">
        <v>0</v>
      </c>
      <c r="C500" s="65"/>
      <c r="D500" s="19" t="s">
        <v>27</v>
      </c>
      <c r="E500" s="22"/>
      <c r="F500" s="23">
        <v>0</v>
      </c>
    </row>
    <row r="501" spans="1:6" s="92" customFormat="1" ht="23.25" x14ac:dyDescent="0.55000000000000004">
      <c r="A501" s="13"/>
      <c r="B501" s="23">
        <v>0</v>
      </c>
      <c r="C501" s="29"/>
      <c r="D501" s="19" t="s">
        <v>28</v>
      </c>
      <c r="E501" s="22"/>
      <c r="F501" s="23">
        <v>0</v>
      </c>
    </row>
    <row r="502" spans="1:6" s="92" customFormat="1" ht="23.25" x14ac:dyDescent="0.55000000000000004">
      <c r="A502" s="13"/>
      <c r="B502" s="23">
        <f>187.15+394.25+228.95+6516.05+791.35</f>
        <v>8117.75</v>
      </c>
      <c r="C502" s="66"/>
      <c r="D502" s="19" t="s">
        <v>29</v>
      </c>
      <c r="E502" s="22"/>
      <c r="F502" s="23">
        <v>6516.05</v>
      </c>
    </row>
    <row r="503" spans="1:6" s="92" customFormat="1" ht="23.25" x14ac:dyDescent="0.55000000000000004">
      <c r="A503" s="13"/>
      <c r="B503" s="23">
        <v>0</v>
      </c>
      <c r="C503" s="66"/>
      <c r="D503" s="19" t="s">
        <v>30</v>
      </c>
      <c r="E503" s="22"/>
      <c r="F503" s="23"/>
    </row>
    <row r="504" spans="1:6" s="92" customFormat="1" ht="23.25" x14ac:dyDescent="0.55000000000000004">
      <c r="A504" s="26"/>
      <c r="B504" s="23">
        <v>0</v>
      </c>
      <c r="C504" s="95"/>
      <c r="D504" s="19" t="s">
        <v>31</v>
      </c>
      <c r="E504" s="22" t="s">
        <v>32</v>
      </c>
      <c r="F504" s="23"/>
    </row>
    <row r="505" spans="1:6" s="92" customFormat="1" ht="23.25" x14ac:dyDescent="0.55000000000000004">
      <c r="A505" s="31"/>
      <c r="B505" s="23">
        <v>0</v>
      </c>
      <c r="C505" s="96"/>
      <c r="D505" s="19" t="s">
        <v>33</v>
      </c>
      <c r="E505" s="22" t="s">
        <v>34</v>
      </c>
      <c r="F505" s="23"/>
    </row>
    <row r="506" spans="1:6" s="92" customFormat="1" ht="23.25" x14ac:dyDescent="0.55000000000000004">
      <c r="A506" s="31"/>
      <c r="B506" s="23">
        <v>763200</v>
      </c>
      <c r="C506" s="96"/>
      <c r="D506" s="26" t="s">
        <v>35</v>
      </c>
      <c r="E506" s="22" t="s">
        <v>36</v>
      </c>
      <c r="F506" s="23"/>
    </row>
    <row r="507" spans="1:6" s="92" customFormat="1" ht="23.25" x14ac:dyDescent="0.55000000000000004">
      <c r="A507" s="31"/>
      <c r="B507" s="23">
        <f>77106.05+179271.55+39555.32+11940.5+55.15+5901.77+953.85+5419.83+140.95+22043.45+1440.6+25449.27+12864.5+12039+11467+11467-45050</f>
        <v>372065.79000000004</v>
      </c>
      <c r="C507" s="96"/>
      <c r="D507" s="19" t="s">
        <v>37</v>
      </c>
      <c r="E507" s="27" t="s">
        <v>38</v>
      </c>
      <c r="F507" s="23">
        <f>1440.6+25449.27+11467</f>
        <v>38356.869999999995</v>
      </c>
    </row>
    <row r="508" spans="1:6" s="92" customFormat="1" ht="23.25" x14ac:dyDescent="0.55000000000000004">
      <c r="A508" s="31"/>
      <c r="B508" s="23"/>
      <c r="C508" s="96"/>
      <c r="D508" s="19" t="s">
        <v>538</v>
      </c>
      <c r="E508" s="22" t="s">
        <v>39</v>
      </c>
      <c r="F508" s="23"/>
    </row>
    <row r="509" spans="1:6" s="92" customFormat="1" ht="23.25" x14ac:dyDescent="0.55000000000000004">
      <c r="A509" s="31"/>
      <c r="B509" s="23">
        <f>21800+186690+142415</f>
        <v>350905</v>
      </c>
      <c r="C509" s="96"/>
      <c r="D509" s="33" t="s">
        <v>539</v>
      </c>
      <c r="E509" s="32"/>
      <c r="F509" s="23"/>
    </row>
    <row r="510" spans="1:6" s="92" customFormat="1" ht="23.25" x14ac:dyDescent="0.55000000000000004">
      <c r="A510" s="31"/>
      <c r="B510" s="23">
        <f>1090+3420+2280</f>
        <v>6790</v>
      </c>
      <c r="C510" s="96"/>
      <c r="D510" s="33" t="s">
        <v>624</v>
      </c>
      <c r="E510" s="32"/>
      <c r="F510" s="23"/>
    </row>
    <row r="511" spans="1:6" s="92" customFormat="1" ht="23.25" x14ac:dyDescent="0.55000000000000004">
      <c r="A511" s="31"/>
      <c r="B511" s="23"/>
      <c r="C511" s="96"/>
      <c r="D511" s="33" t="s">
        <v>40</v>
      </c>
      <c r="E511" s="34"/>
      <c r="F511" s="23"/>
    </row>
    <row r="512" spans="1:6" s="92" customFormat="1" ht="23.25" x14ac:dyDescent="0.55000000000000004">
      <c r="A512" s="31"/>
      <c r="B512" s="23">
        <f>1284600+2997400</f>
        <v>4282000</v>
      </c>
      <c r="C512" s="93"/>
      <c r="D512" s="33" t="s">
        <v>527</v>
      </c>
      <c r="E512" s="22"/>
      <c r="F512" s="23"/>
    </row>
    <row r="513" spans="1:6" s="92" customFormat="1" ht="23.25" x14ac:dyDescent="0.55000000000000004">
      <c r="A513" s="31"/>
      <c r="B513" s="23">
        <f>6383.34+169</f>
        <v>6552.34</v>
      </c>
      <c r="C513" s="96"/>
      <c r="D513" s="438" t="s">
        <v>42</v>
      </c>
      <c r="E513" s="22"/>
      <c r="F513" s="23"/>
    </row>
    <row r="514" spans="1:6" s="92" customFormat="1" ht="23.25" x14ac:dyDescent="0.55000000000000004">
      <c r="A514" s="31"/>
      <c r="B514" s="23">
        <v>50400</v>
      </c>
      <c r="C514" s="96"/>
      <c r="D514" s="438" t="s">
        <v>524</v>
      </c>
      <c r="E514" s="22"/>
      <c r="F514" s="23"/>
    </row>
    <row r="515" spans="1:6" s="92" customFormat="1" ht="23.25" x14ac:dyDescent="0.55000000000000004">
      <c r="A515" s="31"/>
      <c r="B515" s="23">
        <f>1011900+674600</f>
        <v>1686500</v>
      </c>
      <c r="C515" s="96"/>
      <c r="D515" s="438" t="s">
        <v>525</v>
      </c>
      <c r="E515" s="22"/>
      <c r="F515" s="23"/>
    </row>
    <row r="516" spans="1:6" s="92" customFormat="1" ht="23.25" x14ac:dyDescent="0.55000000000000004">
      <c r="A516" s="31"/>
      <c r="B516" s="23">
        <f>136800+136800</f>
        <v>273600</v>
      </c>
      <c r="C516" s="96"/>
      <c r="D516" s="438" t="s">
        <v>526</v>
      </c>
      <c r="E516" s="22"/>
      <c r="F516" s="23"/>
    </row>
    <row r="517" spans="1:6" s="92" customFormat="1" ht="23.25" x14ac:dyDescent="0.55000000000000004">
      <c r="A517" s="31"/>
      <c r="B517" s="23">
        <f>430+24701</f>
        <v>25131</v>
      </c>
      <c r="C517" s="96"/>
      <c r="D517" s="438" t="s">
        <v>528</v>
      </c>
      <c r="E517" s="22"/>
      <c r="F517" s="23"/>
    </row>
    <row r="518" spans="1:6" s="92" customFormat="1" ht="23.25" x14ac:dyDescent="0.55000000000000004">
      <c r="A518" s="31"/>
      <c r="B518" s="23">
        <f>393350+38750+41378+45050+8600</f>
        <v>527128</v>
      </c>
      <c r="C518" s="96"/>
      <c r="D518" s="438" t="s">
        <v>532</v>
      </c>
      <c r="E518" s="22"/>
      <c r="F518" s="23">
        <v>8600</v>
      </c>
    </row>
    <row r="519" spans="1:6" s="92" customFormat="1" ht="23.25" x14ac:dyDescent="0.55000000000000004">
      <c r="A519" s="31"/>
      <c r="B519" s="23">
        <v>82.43</v>
      </c>
      <c r="C519" s="437"/>
      <c r="D519" s="438" t="s">
        <v>533</v>
      </c>
      <c r="E519" s="22"/>
      <c r="F519" s="23"/>
    </row>
    <row r="520" spans="1:6" s="92" customFormat="1" ht="23.25" x14ac:dyDescent="0.55000000000000004">
      <c r="A520" s="31"/>
      <c r="B520" s="23">
        <v>2250</v>
      </c>
      <c r="C520" s="93"/>
      <c r="D520" s="19" t="s">
        <v>534</v>
      </c>
      <c r="E520" s="22"/>
      <c r="F520" s="23"/>
    </row>
    <row r="521" spans="1:6" s="92" customFormat="1" ht="23.25" x14ac:dyDescent="0.55000000000000004">
      <c r="A521" s="31"/>
      <c r="B521" s="23"/>
      <c r="C521" s="93"/>
      <c r="D521" s="19" t="s">
        <v>543</v>
      </c>
      <c r="E521" s="22"/>
      <c r="F521" s="23"/>
    </row>
    <row r="522" spans="1:6" s="92" customFormat="1" ht="23.25" x14ac:dyDescent="0.55000000000000004">
      <c r="A522" s="31"/>
      <c r="B522" s="23">
        <v>0</v>
      </c>
      <c r="C522" s="383"/>
      <c r="D522" s="19"/>
      <c r="E522" s="384"/>
      <c r="F522" s="23">
        <v>0</v>
      </c>
    </row>
    <row r="523" spans="1:6" s="92" customFormat="1" ht="23.25" x14ac:dyDescent="0.55000000000000004">
      <c r="A523" s="31"/>
      <c r="B523" s="23">
        <v>0</v>
      </c>
      <c r="C523" s="96"/>
      <c r="D523" s="30"/>
      <c r="E523" s="22"/>
      <c r="F523" s="23">
        <v>0</v>
      </c>
    </row>
    <row r="524" spans="1:6" s="92" customFormat="1" ht="23.25" x14ac:dyDescent="0.55000000000000004">
      <c r="A524" s="31"/>
      <c r="B524" s="35">
        <f>SUM(B500:B523)</f>
        <v>8354722.3099999996</v>
      </c>
      <c r="C524" s="824" t="s">
        <v>43</v>
      </c>
      <c r="D524" s="823"/>
      <c r="E524" s="56"/>
      <c r="F524" s="25">
        <f>SUM(F500:F523)</f>
        <v>53472.92</v>
      </c>
    </row>
    <row r="525" spans="1:6" s="92" customFormat="1" ht="23.25" x14ac:dyDescent="0.55000000000000004">
      <c r="A525" s="31"/>
      <c r="B525" s="36">
        <f>SUM(B524+B499)</f>
        <v>21606111.609999999</v>
      </c>
      <c r="C525" s="539"/>
      <c r="D525" s="539"/>
      <c r="E525" s="56"/>
      <c r="F525" s="37">
        <f>SUM(F524+F499)</f>
        <v>5371458.1500000004</v>
      </c>
    </row>
    <row r="526" spans="1:6" s="92" customFormat="1" ht="24" x14ac:dyDescent="0.55000000000000004">
      <c r="A526" s="38"/>
      <c r="B526" s="39"/>
      <c r="C526" s="40"/>
      <c r="D526" s="40"/>
      <c r="E526" s="41"/>
      <c r="F526" s="42"/>
    </row>
    <row r="527" spans="1:6" s="92" customFormat="1" ht="24.75" thickBot="1" x14ac:dyDescent="0.6">
      <c r="A527" s="38"/>
      <c r="B527" s="39"/>
      <c r="C527" s="40"/>
      <c r="D527" s="40"/>
      <c r="E527" s="41"/>
      <c r="F527" s="42"/>
    </row>
    <row r="528" spans="1:6" s="92" customFormat="1" ht="22.5" thickTop="1" x14ac:dyDescent="0.5">
      <c r="A528" s="829" t="s">
        <v>4</v>
      </c>
      <c r="B528" s="830"/>
      <c r="C528" s="831"/>
      <c r="D528" s="832"/>
      <c r="E528" s="5"/>
      <c r="F528" s="6" t="s">
        <v>5</v>
      </c>
    </row>
    <row r="529" spans="1:6" s="92" customFormat="1" ht="21.75" x14ac:dyDescent="0.5">
      <c r="A529" s="7" t="s">
        <v>6</v>
      </c>
      <c r="B529" s="540" t="s">
        <v>7</v>
      </c>
      <c r="C529" s="819" t="s">
        <v>10</v>
      </c>
      <c r="D529" s="820"/>
      <c r="E529" s="8" t="s">
        <v>8</v>
      </c>
      <c r="F529" s="9" t="s">
        <v>7</v>
      </c>
    </row>
    <row r="530" spans="1:6" s="92" customFormat="1" ht="22.5" thickBot="1" x14ac:dyDescent="0.55000000000000004">
      <c r="A530" s="10" t="s">
        <v>9</v>
      </c>
      <c r="B530" s="542" t="s">
        <v>9</v>
      </c>
      <c r="C530" s="821"/>
      <c r="D530" s="822"/>
      <c r="E530" s="11" t="s">
        <v>11</v>
      </c>
      <c r="F530" s="10" t="s">
        <v>9</v>
      </c>
    </row>
    <row r="531" spans="1:6" s="92" customFormat="1" ht="24" thickTop="1" x14ac:dyDescent="0.55000000000000004">
      <c r="A531" s="43"/>
      <c r="B531" s="13"/>
      <c r="C531" s="44" t="s">
        <v>44</v>
      </c>
      <c r="D531" s="15"/>
      <c r="E531" s="16"/>
      <c r="F531" s="17"/>
    </row>
    <row r="532" spans="1:6" s="92" customFormat="1" ht="23.25" x14ac:dyDescent="0.55000000000000004">
      <c r="A532" s="23">
        <v>1536160</v>
      </c>
      <c r="B532" s="24">
        <f>2500+13795.5+24813+15364.5+257191.2+523619.6+23492.6</f>
        <v>860776.4</v>
      </c>
      <c r="C532" s="20"/>
      <c r="D532" s="30" t="s">
        <v>41</v>
      </c>
      <c r="E532" s="22" t="s">
        <v>45</v>
      </c>
      <c r="F532" s="23">
        <v>23492.6</v>
      </c>
    </row>
    <row r="533" spans="1:6" s="92" customFormat="1" ht="23.25" x14ac:dyDescent="0.55000000000000004">
      <c r="A533" s="97">
        <v>2624640</v>
      </c>
      <c r="B533" s="24">
        <f>218720+218720+218720+218720+218720+218720</f>
        <v>1312320</v>
      </c>
      <c r="C533" s="29"/>
      <c r="D533" s="30" t="s">
        <v>46</v>
      </c>
      <c r="E533" s="22" t="s">
        <v>47</v>
      </c>
      <c r="F533" s="23">
        <v>218720</v>
      </c>
    </row>
    <row r="534" spans="1:6" s="92" customFormat="1" ht="23.25" x14ac:dyDescent="0.55000000000000004">
      <c r="A534" s="98">
        <f>4541000+35000+1527000</f>
        <v>6103000</v>
      </c>
      <c r="B534" s="24">
        <f>393371.37+452770+451790+658236.2-257191.2+515839+410025</f>
        <v>2624840.37</v>
      </c>
      <c r="C534" s="29"/>
      <c r="D534" s="30" t="s">
        <v>48</v>
      </c>
      <c r="E534" s="22" t="s">
        <v>47</v>
      </c>
      <c r="F534" s="24">
        <v>410025</v>
      </c>
    </row>
    <row r="535" spans="1:6" s="92" customFormat="1" ht="23.25" x14ac:dyDescent="0.55000000000000004">
      <c r="A535" s="23">
        <f>110000+10000+76000</f>
        <v>196000</v>
      </c>
      <c r="B535" s="24">
        <f>3500+22700+18020+6170+7700+3500</f>
        <v>61590</v>
      </c>
      <c r="C535" s="29"/>
      <c r="D535" s="30" t="s">
        <v>49</v>
      </c>
      <c r="E535" s="22" t="s">
        <v>47</v>
      </c>
      <c r="F535" s="23">
        <v>3500</v>
      </c>
    </row>
    <row r="536" spans="1:6" s="92" customFormat="1" ht="23.25" x14ac:dyDescent="0.55000000000000004">
      <c r="A536" s="23">
        <f>399000+210000+450000+100000+20000+80000+110000+880000+10000+100000</f>
        <v>2359000</v>
      </c>
      <c r="B536" s="24">
        <f>126305+47540+157877+175805.73+330000+86823+49666+11340+23400</f>
        <v>1008756.73</v>
      </c>
      <c r="C536" s="29"/>
      <c r="D536" s="30" t="s">
        <v>50</v>
      </c>
      <c r="E536" s="22" t="s">
        <v>51</v>
      </c>
      <c r="F536" s="23">
        <f>49666+11340+23400</f>
        <v>84406</v>
      </c>
    </row>
    <row r="537" spans="1:6" s="92" customFormat="1" ht="23.25" x14ac:dyDescent="0.55000000000000004">
      <c r="A537" s="23">
        <f>374000+55000+510000+20000+300000+10000+400000</f>
        <v>1669000</v>
      </c>
      <c r="B537" s="23">
        <f>8670+35781+199291.9+174658.67+39108</f>
        <v>457509.57</v>
      </c>
      <c r="C537" s="29"/>
      <c r="D537" s="30" t="s">
        <v>52</v>
      </c>
      <c r="E537" s="22" t="s">
        <v>53</v>
      </c>
      <c r="F537" s="23">
        <v>39108</v>
      </c>
    </row>
    <row r="538" spans="1:6" s="92" customFormat="1" ht="23.25" x14ac:dyDescent="0.55000000000000004">
      <c r="A538" s="23">
        <f>271000+1100000</f>
        <v>1371000</v>
      </c>
      <c r="B538" s="24">
        <f>115218.49+932+105203.83+119261.79+219683.14+120076.86</f>
        <v>680376.11</v>
      </c>
      <c r="C538" s="29"/>
      <c r="D538" s="30" t="s">
        <v>54</v>
      </c>
      <c r="E538" s="22" t="s">
        <v>55</v>
      </c>
      <c r="F538" s="24">
        <v>120076.86</v>
      </c>
    </row>
    <row r="539" spans="1:6" s="92" customFormat="1" ht="23.25" x14ac:dyDescent="0.55000000000000004">
      <c r="A539" s="23">
        <f>740000+105000+20000</f>
        <v>865000</v>
      </c>
      <c r="B539" s="24">
        <f>217000+167000</f>
        <v>384000</v>
      </c>
      <c r="C539" s="29"/>
      <c r="D539" s="30" t="s">
        <v>25</v>
      </c>
      <c r="E539" s="22" t="s">
        <v>56</v>
      </c>
      <c r="F539" s="24">
        <v>0</v>
      </c>
    </row>
    <row r="540" spans="1:6" s="92" customFormat="1" ht="23.25" x14ac:dyDescent="0.55000000000000004">
      <c r="A540" s="23">
        <f>208100+100000+9600+256000</f>
        <v>573700</v>
      </c>
      <c r="B540" s="24">
        <v>223683.23</v>
      </c>
      <c r="C540" s="29"/>
      <c r="D540" s="30" t="s">
        <v>57</v>
      </c>
      <c r="E540" s="22" t="s">
        <v>58</v>
      </c>
      <c r="F540" s="24"/>
    </row>
    <row r="541" spans="1:6" s="92" customFormat="1" ht="23.25" x14ac:dyDescent="0.55000000000000004">
      <c r="A541" s="24">
        <v>4682500</v>
      </c>
      <c r="B541" s="24">
        <v>1836000</v>
      </c>
      <c r="C541" s="29"/>
      <c r="D541" s="30" t="s">
        <v>59</v>
      </c>
      <c r="E541" s="22" t="s">
        <v>60</v>
      </c>
      <c r="F541" s="24">
        <v>1836000</v>
      </c>
    </row>
    <row r="542" spans="1:6" s="92" customFormat="1" ht="23.25" x14ac:dyDescent="0.55000000000000004">
      <c r="A542" s="23">
        <v>20000</v>
      </c>
      <c r="B542" s="23">
        <v>0</v>
      </c>
      <c r="C542" s="29"/>
      <c r="D542" s="30" t="s">
        <v>61</v>
      </c>
      <c r="E542" s="22" t="s">
        <v>62</v>
      </c>
      <c r="F542" s="23">
        <v>0</v>
      </c>
    </row>
    <row r="543" spans="1:6" s="92" customFormat="1" ht="23.25" x14ac:dyDescent="0.55000000000000004">
      <c r="A543" s="17"/>
      <c r="B543" s="17"/>
      <c r="C543" s="29"/>
      <c r="D543" s="31"/>
      <c r="E543" s="27"/>
      <c r="F543" s="17">
        <v>0</v>
      </c>
    </row>
    <row r="544" spans="1:6" s="92" customFormat="1" ht="24" thickBot="1" x14ac:dyDescent="0.6">
      <c r="A544" s="28">
        <f>SUM(A532:A543)</f>
        <v>22000000</v>
      </c>
      <c r="B544" s="28">
        <f>SUM(B532:B543)</f>
        <v>9449852.4100000001</v>
      </c>
      <c r="C544" s="45"/>
      <c r="D544" s="46" t="s">
        <v>13</v>
      </c>
      <c r="E544" s="28" t="s">
        <v>13</v>
      </c>
      <c r="F544" s="28">
        <f>SUM(F532:F543)</f>
        <v>2735328.46</v>
      </c>
    </row>
    <row r="545" spans="1:6" s="92" customFormat="1" ht="24" thickTop="1" x14ac:dyDescent="0.55000000000000004">
      <c r="A545" s="465"/>
      <c r="B545" s="47"/>
      <c r="C545" s="48"/>
      <c r="D545" s="49"/>
      <c r="E545" s="50"/>
      <c r="F545" s="50"/>
    </row>
    <row r="546" spans="1:6" s="92" customFormat="1" ht="23.25" x14ac:dyDescent="0.55000000000000004">
      <c r="A546" s="466"/>
      <c r="B546" s="24">
        <v>0</v>
      </c>
      <c r="C546" s="20"/>
      <c r="D546" s="30" t="s">
        <v>321</v>
      </c>
      <c r="E546" s="22"/>
      <c r="F546" s="23">
        <v>0</v>
      </c>
    </row>
    <row r="547" spans="1:6" s="92" customFormat="1" ht="23.25" x14ac:dyDescent="0.55000000000000004">
      <c r="A547" s="466"/>
      <c r="B547" s="24">
        <f>672000+334100+332300+331100</f>
        <v>1669500</v>
      </c>
      <c r="C547" s="20"/>
      <c r="D547" s="30" t="s">
        <v>63</v>
      </c>
      <c r="E547" s="22"/>
      <c r="F547" s="23"/>
    </row>
    <row r="548" spans="1:6" s="92" customFormat="1" ht="23.25" x14ac:dyDescent="0.55000000000000004">
      <c r="A548" s="466"/>
      <c r="B548" s="24">
        <f>91200+45600+45600+44800+44800</f>
        <v>272000</v>
      </c>
      <c r="C548" s="20"/>
      <c r="D548" s="30" t="s">
        <v>64</v>
      </c>
      <c r="E548" s="22"/>
      <c r="F548" s="23">
        <v>44800</v>
      </c>
    </row>
    <row r="549" spans="1:6" s="92" customFormat="1" ht="23.25" x14ac:dyDescent="0.55000000000000004">
      <c r="A549" s="413"/>
      <c r="B549" s="24"/>
      <c r="C549" s="29"/>
      <c r="D549" s="30" t="s">
        <v>65</v>
      </c>
      <c r="E549" s="22"/>
      <c r="F549" s="24"/>
    </row>
    <row r="550" spans="1:6" s="92" customFormat="1" ht="23.25" x14ac:dyDescent="0.55000000000000004">
      <c r="A550" s="466"/>
      <c r="B550" s="45">
        <f>443000+458000+952000+395274</f>
        <v>2248274</v>
      </c>
      <c r="C550" s="45"/>
      <c r="D550" s="46" t="s">
        <v>33</v>
      </c>
      <c r="E550" s="23"/>
      <c r="F550" s="23">
        <f>395274</f>
        <v>395274</v>
      </c>
    </row>
    <row r="551" spans="1:6" s="92" customFormat="1" ht="23.25" x14ac:dyDescent="0.55000000000000004">
      <c r="A551" s="31"/>
      <c r="B551" s="51">
        <f>961000+760000+59000+441000</f>
        <v>2221000</v>
      </c>
      <c r="C551" s="29"/>
      <c r="D551" s="30" t="s">
        <v>67</v>
      </c>
      <c r="E551" s="22" t="s">
        <v>68</v>
      </c>
      <c r="F551" s="23">
        <v>441000</v>
      </c>
    </row>
    <row r="552" spans="1:6" s="92" customFormat="1" ht="23.25" x14ac:dyDescent="0.55000000000000004">
      <c r="A552" s="31"/>
      <c r="B552" s="51">
        <f>330000+23400+11340</f>
        <v>364740</v>
      </c>
      <c r="C552" s="29"/>
      <c r="D552" s="31" t="s">
        <v>66</v>
      </c>
      <c r="E552" s="27" t="s">
        <v>32</v>
      </c>
      <c r="F552" s="17">
        <v>11340</v>
      </c>
    </row>
    <row r="553" spans="1:6" s="92" customFormat="1" ht="23.25" x14ac:dyDescent="0.55000000000000004">
      <c r="A553" s="31"/>
      <c r="B553" s="51">
        <f>382100+381100+329700</f>
        <v>1092900</v>
      </c>
      <c r="C553" s="29"/>
      <c r="D553" s="30" t="s">
        <v>69</v>
      </c>
      <c r="E553" s="22" t="s">
        <v>36</v>
      </c>
      <c r="F553" s="24">
        <v>329700</v>
      </c>
    </row>
    <row r="554" spans="1:6" s="92" customFormat="1" ht="23.25" x14ac:dyDescent="0.55000000000000004">
      <c r="A554" s="31"/>
      <c r="B554" s="51">
        <f>16513.35+21992.05+39555.32+5901.77+5419.83+22043.45</f>
        <v>111425.77</v>
      </c>
      <c r="C554" s="29"/>
      <c r="D554" s="30" t="s">
        <v>70</v>
      </c>
      <c r="E554" s="22" t="s">
        <v>38</v>
      </c>
      <c r="F554" s="24">
        <v>22043.45</v>
      </c>
    </row>
    <row r="555" spans="1:6" s="92" customFormat="1" ht="23.25" x14ac:dyDescent="0.55000000000000004">
      <c r="A555" s="31"/>
      <c r="B555" s="23">
        <f>11295.5+10709+12864.5+12039+11467</f>
        <v>58375</v>
      </c>
      <c r="C555" s="19"/>
      <c r="D555" s="30" t="s">
        <v>493</v>
      </c>
      <c r="E555" s="53"/>
      <c r="F555" s="24">
        <v>11467</v>
      </c>
    </row>
    <row r="556" spans="1:6" s="92" customFormat="1" ht="23.25" x14ac:dyDescent="0.55000000000000004">
      <c r="A556" s="31"/>
      <c r="B556" s="24"/>
      <c r="C556" s="19"/>
      <c r="D556" s="52" t="s">
        <v>105</v>
      </c>
      <c r="E556" s="53"/>
      <c r="F556" s="24"/>
    </row>
    <row r="557" spans="1:6" s="92" customFormat="1" ht="23.25" x14ac:dyDescent="0.55000000000000004">
      <c r="A557" s="31"/>
      <c r="B557" s="24"/>
      <c r="C557" s="19"/>
      <c r="D557" s="30" t="s">
        <v>71</v>
      </c>
      <c r="E557" s="22"/>
      <c r="F557" s="24"/>
    </row>
    <row r="558" spans="1:6" s="92" customFormat="1" ht="23.25" x14ac:dyDescent="0.55000000000000004">
      <c r="A558" s="31"/>
      <c r="B558" s="24">
        <f>308000+395000</f>
        <v>703000</v>
      </c>
      <c r="C558" s="29"/>
      <c r="D558" s="30" t="s">
        <v>102</v>
      </c>
      <c r="E558" s="22"/>
      <c r="F558" s="24"/>
    </row>
    <row r="559" spans="1:6" s="92" customFormat="1" ht="23.25" x14ac:dyDescent="0.55000000000000004">
      <c r="A559" s="31"/>
      <c r="B559" s="98">
        <f>61820+115526.5+61440+61440</f>
        <v>300226.5</v>
      </c>
      <c r="C559" s="394"/>
      <c r="D559" s="30" t="s">
        <v>615</v>
      </c>
      <c r="E559" s="384"/>
      <c r="F559" s="98">
        <v>61440</v>
      </c>
    </row>
    <row r="560" spans="1:6" s="92" customFormat="1" ht="24" x14ac:dyDescent="0.55000000000000004">
      <c r="A560" s="31"/>
      <c r="B560" s="24">
        <f>5500+8600+129440+3315</f>
        <v>146855</v>
      </c>
      <c r="C560" s="29"/>
      <c r="D560" s="439" t="s">
        <v>529</v>
      </c>
      <c r="E560" s="22"/>
      <c r="F560" s="24">
        <v>3315</v>
      </c>
    </row>
    <row r="561" spans="1:6" s="92" customFormat="1" ht="24" x14ac:dyDescent="0.55000000000000004">
      <c r="A561" s="31"/>
      <c r="B561" s="24">
        <v>179250</v>
      </c>
      <c r="C561" s="29"/>
      <c r="D561" s="439" t="s">
        <v>535</v>
      </c>
      <c r="E561" s="22"/>
      <c r="F561" s="24"/>
    </row>
    <row r="562" spans="1:6" s="92" customFormat="1" ht="24" x14ac:dyDescent="0.55000000000000004">
      <c r="A562" s="31"/>
      <c r="B562" s="24">
        <v>25131</v>
      </c>
      <c r="C562" s="29"/>
      <c r="D562" s="439" t="s">
        <v>528</v>
      </c>
      <c r="E562" s="22"/>
      <c r="F562" s="24">
        <v>25131</v>
      </c>
    </row>
    <row r="563" spans="1:6" s="92" customFormat="1" ht="23.25" x14ac:dyDescent="0.55000000000000004">
      <c r="A563" s="31"/>
      <c r="B563" s="54">
        <f>1284600+2997400</f>
        <v>4282000</v>
      </c>
      <c r="C563" s="29"/>
      <c r="D563" s="30" t="s">
        <v>517</v>
      </c>
      <c r="E563" s="22"/>
      <c r="F563" s="55"/>
    </row>
    <row r="564" spans="1:6" s="92" customFormat="1" ht="23.25" x14ac:dyDescent="0.55000000000000004">
      <c r="A564" s="31"/>
      <c r="B564" s="37">
        <f>SUM(B546:B563)</f>
        <v>13674677.27</v>
      </c>
      <c r="C564" s="823" t="s">
        <v>72</v>
      </c>
      <c r="D564" s="823"/>
      <c r="E564" s="56"/>
      <c r="F564" s="37">
        <f>SUM(F546:F563)</f>
        <v>1345510.45</v>
      </c>
    </row>
    <row r="565" spans="1:6" s="92" customFormat="1" ht="23.25" x14ac:dyDescent="0.55000000000000004">
      <c r="A565" s="31"/>
      <c r="B565" s="57">
        <f>SUM(B564+B544)</f>
        <v>23124529.68</v>
      </c>
      <c r="C565" s="824" t="s">
        <v>73</v>
      </c>
      <c r="D565" s="823"/>
      <c r="E565" s="56"/>
      <c r="F565" s="37">
        <f>SUM(F564+F544)</f>
        <v>4080838.91</v>
      </c>
    </row>
    <row r="566" spans="1:6" s="92" customFormat="1" ht="23.25" x14ac:dyDescent="0.55000000000000004">
      <c r="A566" s="31"/>
      <c r="B566" s="37"/>
      <c r="C566" s="824" t="s">
        <v>74</v>
      </c>
      <c r="D566" s="823"/>
      <c r="E566" s="56"/>
      <c r="F566" s="37" t="s">
        <v>13</v>
      </c>
    </row>
    <row r="567" spans="1:6" s="92" customFormat="1" ht="23.25" x14ac:dyDescent="0.55000000000000004">
      <c r="A567" s="31"/>
      <c r="B567" s="58">
        <f>SUM(B525-B565)</f>
        <v>-1518418.0700000003</v>
      </c>
      <c r="C567" s="824" t="s">
        <v>75</v>
      </c>
      <c r="D567" s="823"/>
      <c r="E567" s="56"/>
      <c r="F567" s="59">
        <f>SUM(F525-F565)</f>
        <v>1290619.2400000002</v>
      </c>
    </row>
    <row r="568" spans="1:6" s="92" customFormat="1" ht="23.25" x14ac:dyDescent="0.55000000000000004">
      <c r="A568" s="31"/>
      <c r="B568" s="60">
        <f>SUM(B567+B489)</f>
        <v>12148561.24</v>
      </c>
      <c r="C568" s="824"/>
      <c r="D568" s="823"/>
      <c r="E568" s="56"/>
      <c r="F568" s="37">
        <f>SUM(F567+F489)</f>
        <v>12148561.24</v>
      </c>
    </row>
    <row r="569" spans="1:6" s="92" customFormat="1" ht="11.25" customHeight="1" x14ac:dyDescent="0.5">
      <c r="A569" s="61"/>
      <c r="B569" s="61"/>
      <c r="C569" s="540"/>
      <c r="D569" s="540"/>
      <c r="E569" s="62"/>
      <c r="F569" s="63"/>
    </row>
    <row r="570" spans="1:6" s="826" customFormat="1" ht="18.75" x14ac:dyDescent="0.45">
      <c r="A570" s="825" t="s">
        <v>547</v>
      </c>
    </row>
    <row r="571" spans="1:6" s="99" customFormat="1" ht="18.75" x14ac:dyDescent="0.45">
      <c r="A571" s="541" t="s">
        <v>546</v>
      </c>
      <c r="B571" s="541"/>
      <c r="C571" s="541"/>
      <c r="D571" s="541"/>
      <c r="E571" s="541"/>
      <c r="F571" s="541"/>
    </row>
    <row r="572" spans="1:6" s="99" customFormat="1" ht="18.75" x14ac:dyDescent="0.45">
      <c r="A572" s="541" t="s">
        <v>519</v>
      </c>
      <c r="B572" s="541"/>
      <c r="C572" s="541"/>
      <c r="D572" s="541"/>
      <c r="E572" s="541"/>
      <c r="F572" s="541"/>
    </row>
    <row r="573" spans="1:6" s="92" customFormat="1" ht="18.75" x14ac:dyDescent="0.45">
      <c r="A573" s="541"/>
      <c r="B573" s="541"/>
      <c r="C573" s="541"/>
      <c r="D573" s="549" t="s">
        <v>618</v>
      </c>
      <c r="E573" s="541"/>
      <c r="F573" s="541"/>
    </row>
    <row r="574" spans="1:6" s="92" customFormat="1" ht="18.75" x14ac:dyDescent="0.45">
      <c r="A574" s="561"/>
      <c r="B574" s="561"/>
      <c r="C574" s="561"/>
      <c r="D574" s="561"/>
      <c r="E574" s="561"/>
      <c r="F574" s="561"/>
    </row>
    <row r="575" spans="1:6" s="92" customFormat="1" ht="18.75" x14ac:dyDescent="0.45">
      <c r="A575" s="561"/>
      <c r="B575" s="561"/>
      <c r="C575" s="561"/>
      <c r="D575" s="561"/>
      <c r="E575" s="561"/>
      <c r="F575" s="561"/>
    </row>
    <row r="576" spans="1:6" s="92" customFormat="1" ht="18.75" x14ac:dyDescent="0.45">
      <c r="A576" s="561"/>
      <c r="B576" s="561"/>
      <c r="C576" s="561"/>
      <c r="D576" s="561"/>
      <c r="E576" s="561"/>
      <c r="F576" s="561"/>
    </row>
    <row r="577" spans="1:6" s="92" customFormat="1" ht="18.75" x14ac:dyDescent="0.45">
      <c r="A577" s="603"/>
      <c r="B577" s="603"/>
      <c r="C577" s="603"/>
      <c r="D577" s="603"/>
      <c r="E577" s="603"/>
      <c r="F577" s="603"/>
    </row>
    <row r="578" spans="1:6" s="92" customFormat="1" ht="24" x14ac:dyDescent="0.55000000000000004">
      <c r="A578" s="827" t="s">
        <v>0</v>
      </c>
      <c r="B578" s="827"/>
      <c r="C578" s="827"/>
      <c r="D578" s="827"/>
      <c r="E578" s="827"/>
      <c r="F578" s="827"/>
    </row>
    <row r="579" spans="1:6" s="92" customFormat="1" ht="24" x14ac:dyDescent="0.55000000000000004">
      <c r="A579" s="827" t="s">
        <v>1</v>
      </c>
      <c r="B579" s="827"/>
      <c r="C579" s="827"/>
      <c r="D579" s="827"/>
      <c r="E579" s="827"/>
      <c r="F579" s="827"/>
    </row>
    <row r="580" spans="1:6" s="92" customFormat="1" ht="24" x14ac:dyDescent="0.55000000000000004">
      <c r="A580" s="548"/>
      <c r="B580" s="548"/>
      <c r="C580" s="548"/>
      <c r="D580" s="548"/>
      <c r="E580" s="1" t="s">
        <v>544</v>
      </c>
      <c r="F580" s="2"/>
    </row>
    <row r="581" spans="1:6" s="92" customFormat="1" ht="30.75" x14ac:dyDescent="0.7">
      <c r="A581" s="828" t="s">
        <v>2</v>
      </c>
      <c r="B581" s="828"/>
      <c r="C581" s="828"/>
      <c r="D581" s="828"/>
      <c r="E581" s="828"/>
      <c r="F581" s="828"/>
    </row>
    <row r="582" spans="1:6" s="92" customFormat="1" ht="24.75" thickBot="1" x14ac:dyDescent="0.6">
      <c r="A582" s="3" t="s">
        <v>3</v>
      </c>
      <c r="B582" s="3"/>
      <c r="C582" s="3"/>
      <c r="D582" s="4" t="s">
        <v>617</v>
      </c>
      <c r="E582" s="1"/>
      <c r="F582" s="3"/>
    </row>
    <row r="583" spans="1:6" s="92" customFormat="1" ht="22.5" thickTop="1" x14ac:dyDescent="0.5">
      <c r="A583" s="829" t="s">
        <v>4</v>
      </c>
      <c r="B583" s="830"/>
      <c r="C583" s="831"/>
      <c r="D583" s="832"/>
      <c r="E583" s="5"/>
      <c r="F583" s="6" t="s">
        <v>5</v>
      </c>
    </row>
    <row r="584" spans="1:6" s="92" customFormat="1" ht="21.75" x14ac:dyDescent="0.5">
      <c r="A584" s="7" t="s">
        <v>6</v>
      </c>
      <c r="B584" s="7" t="s">
        <v>7</v>
      </c>
      <c r="E584" s="8" t="s">
        <v>8</v>
      </c>
      <c r="F584" s="9" t="s">
        <v>7</v>
      </c>
    </row>
    <row r="585" spans="1:6" s="92" customFormat="1" ht="22.5" thickBot="1" x14ac:dyDescent="0.55000000000000004">
      <c r="A585" s="10" t="s">
        <v>9</v>
      </c>
      <c r="B585" s="547" t="s">
        <v>9</v>
      </c>
      <c r="C585" s="819" t="s">
        <v>10</v>
      </c>
      <c r="D585" s="820"/>
      <c r="E585" s="11" t="s">
        <v>11</v>
      </c>
      <c r="F585" s="10" t="s">
        <v>9</v>
      </c>
    </row>
    <row r="586" spans="1:6" s="92" customFormat="1" ht="24" thickTop="1" x14ac:dyDescent="0.55000000000000004">
      <c r="A586" s="12"/>
      <c r="B586" s="13">
        <v>13666979.310000001</v>
      </c>
      <c r="C586" s="14" t="s">
        <v>12</v>
      </c>
      <c r="D586" s="15"/>
      <c r="E586" s="16"/>
      <c r="F586" s="17">
        <f>+F568</f>
        <v>12148561.24</v>
      </c>
    </row>
    <row r="587" spans="1:6" s="92" customFormat="1" ht="23.25" x14ac:dyDescent="0.55000000000000004">
      <c r="A587" s="18"/>
      <c r="B587" s="19" t="s">
        <v>13</v>
      </c>
      <c r="C587" s="20" t="s">
        <v>14</v>
      </c>
      <c r="D587" s="21"/>
      <c r="E587" s="22"/>
      <c r="F587" s="23"/>
    </row>
    <row r="588" spans="1:6" s="92" customFormat="1" ht="23.25" x14ac:dyDescent="0.55000000000000004">
      <c r="A588" s="23">
        <v>4070000</v>
      </c>
      <c r="B588" s="23">
        <f>24851.32+653.6+2296.15+837656.77+4155543.48+76917.34</f>
        <v>5097918.66</v>
      </c>
      <c r="C588" s="93"/>
      <c r="D588" s="19" t="s">
        <v>15</v>
      </c>
      <c r="E588" s="22" t="s">
        <v>16</v>
      </c>
      <c r="F588" s="23">
        <v>76917.34</v>
      </c>
    </row>
    <row r="589" spans="1:6" s="92" customFormat="1" ht="23.25" x14ac:dyDescent="0.55000000000000004">
      <c r="A589" s="23">
        <v>83000</v>
      </c>
      <c r="B589" s="24">
        <f>562+814+684+3058+50+765+793.6+155.2+252.2+213.4+213.4+84320</f>
        <v>91880.8</v>
      </c>
      <c r="C589" s="93"/>
      <c r="D589" s="19" t="s">
        <v>17</v>
      </c>
      <c r="E589" s="22" t="s">
        <v>18</v>
      </c>
      <c r="F589" s="24">
        <v>793.6</v>
      </c>
    </row>
    <row r="590" spans="1:6" s="92" customFormat="1" ht="23.25" x14ac:dyDescent="0.55000000000000004">
      <c r="A590" s="23">
        <v>110000</v>
      </c>
      <c r="B590" s="24">
        <f>33122.75+16284.37</f>
        <v>49407.12</v>
      </c>
      <c r="C590" s="93"/>
      <c r="D590" s="19" t="s">
        <v>19</v>
      </c>
      <c r="E590" s="22" t="s">
        <v>20</v>
      </c>
      <c r="F590" s="24">
        <v>0</v>
      </c>
    </row>
    <row r="591" spans="1:6" s="92" customFormat="1" ht="23.25" x14ac:dyDescent="0.55000000000000004">
      <c r="A591" s="23">
        <v>1005000</v>
      </c>
      <c r="B591" s="24">
        <f>41413+41107+47949+77291+68760+118469+66193</f>
        <v>461182</v>
      </c>
      <c r="C591" s="93"/>
      <c r="D591" s="19" t="s">
        <v>21</v>
      </c>
      <c r="E591" s="22" t="s">
        <v>22</v>
      </c>
      <c r="F591" s="24">
        <v>66193</v>
      </c>
    </row>
    <row r="592" spans="1:6" s="92" customFormat="1" ht="23.25" x14ac:dyDescent="0.55000000000000004">
      <c r="A592" s="23">
        <v>90000</v>
      </c>
      <c r="B592" s="23">
        <f>3500+7200+378217.34</f>
        <v>388917.34</v>
      </c>
      <c r="C592" s="93"/>
      <c r="D592" s="19" t="s">
        <v>23</v>
      </c>
      <c r="E592" s="22" t="s">
        <v>24</v>
      </c>
      <c r="F592" s="24">
        <v>378217.34</v>
      </c>
    </row>
    <row r="593" spans="1:6" s="92" customFormat="1" ht="23.25" x14ac:dyDescent="0.55000000000000004">
      <c r="A593" s="24">
        <v>2000</v>
      </c>
      <c r="B593" s="23">
        <v>3665</v>
      </c>
      <c r="C593" s="93"/>
      <c r="D593" s="19" t="s">
        <v>106</v>
      </c>
      <c r="E593" s="22" t="s">
        <v>26</v>
      </c>
      <c r="F593" s="23"/>
    </row>
    <row r="594" spans="1:6" s="92" customFormat="1" ht="23.25" x14ac:dyDescent="0.55000000000000004">
      <c r="A594" s="23">
        <v>11890000</v>
      </c>
      <c r="B594" s="23">
        <f>956708.22+877096.73+606176.86+458872.06+1019505.61+1018763.38+662121.78-155.2-252.2-213.4-213.4</f>
        <v>5598410.4399999995</v>
      </c>
      <c r="C594" s="19"/>
      <c r="D594" s="19" t="s">
        <v>107</v>
      </c>
      <c r="E594" s="22"/>
      <c r="F594" s="23">
        <v>662121.78</v>
      </c>
    </row>
    <row r="595" spans="1:6" s="92" customFormat="1" ht="23.25" x14ac:dyDescent="0.55000000000000004">
      <c r="A595" s="55">
        <v>4750000</v>
      </c>
      <c r="B595" s="17">
        <f>1357655+1386596+466460</f>
        <v>3210711</v>
      </c>
      <c r="C595" s="94"/>
      <c r="D595" s="26" t="s">
        <v>108</v>
      </c>
      <c r="E595" s="27"/>
      <c r="F595" s="17">
        <v>466460</v>
      </c>
    </row>
    <row r="596" spans="1:6" s="92" customFormat="1" ht="24" thickBot="1" x14ac:dyDescent="0.6">
      <c r="A596" s="28">
        <f>SUM(A588:A595)</f>
        <v>22000000</v>
      </c>
      <c r="B596" s="28">
        <f>SUM(B588:B595)</f>
        <v>14902092.359999999</v>
      </c>
      <c r="C596" s="29"/>
      <c r="D596" s="30"/>
      <c r="E596" s="22"/>
      <c r="F596" s="28">
        <f>SUM(F588:F595)</f>
        <v>1650703.06</v>
      </c>
    </row>
    <row r="597" spans="1:6" s="92" customFormat="1" ht="24" thickTop="1" x14ac:dyDescent="0.55000000000000004">
      <c r="A597" s="13"/>
      <c r="B597" s="23">
        <v>0</v>
      </c>
      <c r="C597" s="65"/>
      <c r="D597" s="19" t="s">
        <v>27</v>
      </c>
      <c r="E597" s="22"/>
      <c r="F597" s="23">
        <v>0</v>
      </c>
    </row>
    <row r="598" spans="1:6" s="92" customFormat="1" ht="23.25" x14ac:dyDescent="0.55000000000000004">
      <c r="A598" s="13"/>
      <c r="B598" s="23">
        <v>0</v>
      </c>
      <c r="C598" s="29"/>
      <c r="D598" s="19" t="s">
        <v>28</v>
      </c>
      <c r="E598" s="22"/>
      <c r="F598" s="23">
        <v>0</v>
      </c>
    </row>
    <row r="599" spans="1:6" s="92" customFormat="1" ht="23.25" x14ac:dyDescent="0.55000000000000004">
      <c r="A599" s="13"/>
      <c r="B599" s="23">
        <f>187.15+394.25+228.95+6516.05+95.95+791.35</f>
        <v>8213.6999999999989</v>
      </c>
      <c r="C599" s="66"/>
      <c r="D599" s="19" t="s">
        <v>29</v>
      </c>
      <c r="E599" s="22"/>
      <c r="F599" s="23">
        <v>95.95</v>
      </c>
    </row>
    <row r="600" spans="1:6" s="92" customFormat="1" ht="23.25" x14ac:dyDescent="0.55000000000000004">
      <c r="A600" s="13"/>
      <c r="B600" s="23">
        <v>0</v>
      </c>
      <c r="C600" s="66"/>
      <c r="D600" s="19" t="s">
        <v>30</v>
      </c>
      <c r="E600" s="22"/>
      <c r="F600" s="23"/>
    </row>
    <row r="601" spans="1:6" s="92" customFormat="1" ht="23.25" x14ac:dyDescent="0.55000000000000004">
      <c r="A601" s="26"/>
      <c r="B601" s="23">
        <v>0</v>
      </c>
      <c r="C601" s="95"/>
      <c r="D601" s="19" t="s">
        <v>31</v>
      </c>
      <c r="E601" s="22" t="s">
        <v>32</v>
      </c>
      <c r="F601" s="23"/>
    </row>
    <row r="602" spans="1:6" s="92" customFormat="1" ht="23.25" x14ac:dyDescent="0.55000000000000004">
      <c r="A602" s="31"/>
      <c r="B602" s="23">
        <v>0</v>
      </c>
      <c r="C602" s="96"/>
      <c r="D602" s="19" t="s">
        <v>33</v>
      </c>
      <c r="E602" s="22" t="s">
        <v>34</v>
      </c>
      <c r="F602" s="23"/>
    </row>
    <row r="603" spans="1:6" s="92" customFormat="1" ht="23.25" x14ac:dyDescent="0.55000000000000004">
      <c r="A603" s="31"/>
      <c r="B603" s="23">
        <v>763200</v>
      </c>
      <c r="C603" s="96"/>
      <c r="D603" s="26" t="s">
        <v>35</v>
      </c>
      <c r="E603" s="22" t="s">
        <v>36</v>
      </c>
      <c r="F603" s="23"/>
    </row>
    <row r="604" spans="1:6" s="92" customFormat="1" ht="23.25" x14ac:dyDescent="0.55000000000000004">
      <c r="A604" s="31"/>
      <c r="B604" s="23">
        <f>77106.05+179271.55+39555.32+11940.5+55.15+5901.77+953.85+5419.83+140.95+22043.45+1440.6+25449.27+879.5+10727.29+12864.5+12039+11467+11467+11150-45050</f>
        <v>394822.58</v>
      </c>
      <c r="C604" s="96"/>
      <c r="D604" s="19" t="s">
        <v>37</v>
      </c>
      <c r="E604" s="27" t="s">
        <v>38</v>
      </c>
      <c r="F604" s="23">
        <f>879.5+10727.29+11150</f>
        <v>22756.79</v>
      </c>
    </row>
    <row r="605" spans="1:6" s="92" customFormat="1" ht="23.25" x14ac:dyDescent="0.55000000000000004">
      <c r="A605" s="31"/>
      <c r="B605" s="23"/>
      <c r="C605" s="96"/>
      <c r="D605" s="19" t="s">
        <v>538</v>
      </c>
      <c r="E605" s="22" t="s">
        <v>39</v>
      </c>
      <c r="F605" s="23"/>
    </row>
    <row r="606" spans="1:6" s="92" customFormat="1" ht="23.25" x14ac:dyDescent="0.55000000000000004">
      <c r="A606" s="31"/>
      <c r="B606" s="23">
        <f>21800+186690+142415+251350</f>
        <v>602255</v>
      </c>
      <c r="C606" s="96"/>
      <c r="D606" s="33" t="s">
        <v>539</v>
      </c>
      <c r="E606" s="32"/>
      <c r="F606" s="23">
        <f>160150+91200</f>
        <v>251350</v>
      </c>
    </row>
    <row r="607" spans="1:6" s="92" customFormat="1" ht="23.25" x14ac:dyDescent="0.55000000000000004">
      <c r="A607" s="31"/>
      <c r="B607" s="23">
        <f>1090+3420+2280+4560</f>
        <v>11350</v>
      </c>
      <c r="C607" s="96"/>
      <c r="D607" s="33" t="s">
        <v>515</v>
      </c>
      <c r="E607" s="32"/>
      <c r="F607" s="23">
        <v>4560</v>
      </c>
    </row>
    <row r="608" spans="1:6" s="92" customFormat="1" ht="23.25" x14ac:dyDescent="0.55000000000000004">
      <c r="A608" s="31"/>
      <c r="B608" s="23"/>
      <c r="C608" s="96"/>
      <c r="D608" s="33" t="s">
        <v>40</v>
      </c>
      <c r="E608" s="34"/>
      <c r="F608" s="23"/>
    </row>
    <row r="609" spans="1:6" s="92" customFormat="1" ht="23.25" x14ac:dyDescent="0.55000000000000004">
      <c r="A609" s="31"/>
      <c r="B609" s="23">
        <f>1284600+2997400</f>
        <v>4282000</v>
      </c>
      <c r="C609" s="93"/>
      <c r="D609" s="33" t="s">
        <v>527</v>
      </c>
      <c r="E609" s="22"/>
      <c r="F609" s="23"/>
    </row>
    <row r="610" spans="1:6" s="92" customFormat="1" ht="23.25" x14ac:dyDescent="0.55000000000000004">
      <c r="A610" s="31"/>
      <c r="B610" s="23">
        <f>6383.34+169</f>
        <v>6552.34</v>
      </c>
      <c r="C610" s="96"/>
      <c r="D610" s="438" t="s">
        <v>42</v>
      </c>
      <c r="E610" s="22"/>
      <c r="F610" s="23"/>
    </row>
    <row r="611" spans="1:6" s="92" customFormat="1" ht="23.25" x14ac:dyDescent="0.55000000000000004">
      <c r="A611" s="31"/>
      <c r="B611" s="23">
        <v>50400</v>
      </c>
      <c r="C611" s="96"/>
      <c r="D611" s="438" t="s">
        <v>524</v>
      </c>
      <c r="E611" s="22"/>
      <c r="F611" s="23"/>
    </row>
    <row r="612" spans="1:6" s="92" customFormat="1" ht="23.25" x14ac:dyDescent="0.55000000000000004">
      <c r="A612" s="31"/>
      <c r="B612" s="23">
        <f>1011900+674600+657800</f>
        <v>2344300</v>
      </c>
      <c r="C612" s="96"/>
      <c r="D612" s="438" t="s">
        <v>525</v>
      </c>
      <c r="E612" s="22"/>
      <c r="F612" s="23">
        <v>657800</v>
      </c>
    </row>
    <row r="613" spans="1:6" s="92" customFormat="1" ht="23.25" x14ac:dyDescent="0.55000000000000004">
      <c r="A613" s="31"/>
      <c r="B613" s="23">
        <f>136800+136800+45600</f>
        <v>319200</v>
      </c>
      <c r="C613" s="96"/>
      <c r="D613" s="438" t="s">
        <v>526</v>
      </c>
      <c r="E613" s="22"/>
      <c r="F613" s="23">
        <v>45600</v>
      </c>
    </row>
    <row r="614" spans="1:6" s="92" customFormat="1" ht="23.25" x14ac:dyDescent="0.55000000000000004">
      <c r="A614" s="31"/>
      <c r="B614" s="23">
        <f>430+24701+410</f>
        <v>25541</v>
      </c>
      <c r="C614" s="96"/>
      <c r="D614" s="438" t="s">
        <v>528</v>
      </c>
      <c r="E614" s="22"/>
      <c r="F614" s="23">
        <v>410</v>
      </c>
    </row>
    <row r="615" spans="1:6" s="92" customFormat="1" ht="23.25" x14ac:dyDescent="0.55000000000000004">
      <c r="A615" s="31"/>
      <c r="B615" s="23">
        <f>393350+38750+41378+45050+8600</f>
        <v>527128</v>
      </c>
      <c r="C615" s="96"/>
      <c r="D615" s="438" t="s">
        <v>532</v>
      </c>
      <c r="E615" s="22"/>
      <c r="F615" s="23"/>
    </row>
    <row r="616" spans="1:6" s="92" customFormat="1" ht="23.25" x14ac:dyDescent="0.55000000000000004">
      <c r="A616" s="31"/>
      <c r="B616" s="23">
        <v>82.43</v>
      </c>
      <c r="C616" s="437"/>
      <c r="D616" s="438" t="s">
        <v>533</v>
      </c>
      <c r="E616" s="22"/>
      <c r="F616" s="23"/>
    </row>
    <row r="617" spans="1:6" s="92" customFormat="1" ht="23.25" x14ac:dyDescent="0.55000000000000004">
      <c r="A617" s="31"/>
      <c r="B617" s="23">
        <v>2250</v>
      </c>
      <c r="C617" s="93"/>
      <c r="D617" s="19" t="s">
        <v>534</v>
      </c>
      <c r="E617" s="22"/>
      <c r="F617" s="23"/>
    </row>
    <row r="618" spans="1:6" s="92" customFormat="1" ht="23.25" x14ac:dyDescent="0.55000000000000004">
      <c r="A618" s="31"/>
      <c r="B618" s="23"/>
      <c r="C618" s="93"/>
      <c r="D618" s="19" t="s">
        <v>543</v>
      </c>
      <c r="E618" s="22"/>
      <c r="F618" s="23"/>
    </row>
    <row r="619" spans="1:6" s="92" customFormat="1" ht="23.25" x14ac:dyDescent="0.55000000000000004">
      <c r="A619" s="31"/>
      <c r="B619" s="23">
        <v>3</v>
      </c>
      <c r="C619" s="383"/>
      <c r="D619" s="19" t="s">
        <v>619</v>
      </c>
      <c r="E619" s="384"/>
      <c r="F619" s="23">
        <v>3</v>
      </c>
    </row>
    <row r="620" spans="1:6" s="92" customFormat="1" ht="23.25" x14ac:dyDescent="0.55000000000000004">
      <c r="A620" s="31"/>
      <c r="B620" s="23">
        <v>1061725.6399999999</v>
      </c>
      <c r="C620" s="96"/>
      <c r="D620" s="30" t="s">
        <v>620</v>
      </c>
      <c r="E620" s="22"/>
      <c r="F620" s="23">
        <v>1061725.6399999999</v>
      </c>
    </row>
    <row r="621" spans="1:6" s="92" customFormat="1" ht="23.25" x14ac:dyDescent="0.55000000000000004">
      <c r="A621" s="31"/>
      <c r="B621" s="35">
        <f>SUM(B597:B620)</f>
        <v>10399023.690000001</v>
      </c>
      <c r="C621" s="824" t="s">
        <v>43</v>
      </c>
      <c r="D621" s="823"/>
      <c r="E621" s="56"/>
      <c r="F621" s="25">
        <f>SUM(F597:F620)</f>
        <v>2044301.38</v>
      </c>
    </row>
    <row r="622" spans="1:6" s="92" customFormat="1" ht="23.25" x14ac:dyDescent="0.55000000000000004">
      <c r="A622" s="31"/>
      <c r="B622" s="567">
        <f>SUM(B621+B596)</f>
        <v>25301116.050000001</v>
      </c>
      <c r="C622" s="544"/>
      <c r="D622" s="544"/>
      <c r="E622" s="56"/>
      <c r="F622" s="37">
        <f>SUM(F621+F596)</f>
        <v>3695004.44</v>
      </c>
    </row>
    <row r="623" spans="1:6" s="92" customFormat="1" ht="23.25" x14ac:dyDescent="0.55000000000000004">
      <c r="A623" s="26"/>
      <c r="B623" s="565"/>
      <c r="C623" s="560"/>
      <c r="D623" s="560"/>
      <c r="E623" s="566"/>
      <c r="F623" s="13"/>
    </row>
    <row r="624" spans="1:6" s="92" customFormat="1" ht="23.25" x14ac:dyDescent="0.55000000000000004">
      <c r="A624" s="26"/>
      <c r="B624" s="565"/>
      <c r="C624" s="602"/>
      <c r="D624" s="602"/>
      <c r="E624" s="566"/>
      <c r="F624" s="13"/>
    </row>
    <row r="625" spans="1:6" s="92" customFormat="1" ht="23.25" x14ac:dyDescent="0.55000000000000004">
      <c r="A625" s="26"/>
      <c r="B625" s="565"/>
      <c r="C625" s="560"/>
      <c r="D625" s="560"/>
      <c r="E625" s="566"/>
      <c r="F625" s="13"/>
    </row>
    <row r="626" spans="1:6" s="92" customFormat="1" ht="21.75" x14ac:dyDescent="0.5">
      <c r="A626" s="835" t="s">
        <v>4</v>
      </c>
      <c r="B626" s="836"/>
      <c r="C626" s="837"/>
      <c r="D626" s="838"/>
      <c r="E626" s="568"/>
      <c r="F626" s="569" t="s">
        <v>5</v>
      </c>
    </row>
    <row r="627" spans="1:6" s="92" customFormat="1" ht="21.75" x14ac:dyDescent="0.5">
      <c r="A627" s="7" t="s">
        <v>6</v>
      </c>
      <c r="B627" s="546" t="s">
        <v>7</v>
      </c>
      <c r="C627" s="819" t="s">
        <v>10</v>
      </c>
      <c r="D627" s="820"/>
      <c r="E627" s="8" t="s">
        <v>8</v>
      </c>
      <c r="F627" s="9" t="s">
        <v>7</v>
      </c>
    </row>
    <row r="628" spans="1:6" s="92" customFormat="1" ht="22.5" thickBot="1" x14ac:dyDescent="0.55000000000000004">
      <c r="A628" s="10" t="s">
        <v>9</v>
      </c>
      <c r="B628" s="547" t="s">
        <v>9</v>
      </c>
      <c r="C628" s="821"/>
      <c r="D628" s="822"/>
      <c r="E628" s="11" t="s">
        <v>11</v>
      </c>
      <c r="F628" s="10" t="s">
        <v>9</v>
      </c>
    </row>
    <row r="629" spans="1:6" s="92" customFormat="1" ht="24" thickTop="1" x14ac:dyDescent="0.55000000000000004">
      <c r="A629" s="43"/>
      <c r="B629" s="13"/>
      <c r="C629" s="44" t="s">
        <v>44</v>
      </c>
      <c r="D629" s="15"/>
      <c r="E629" s="16"/>
      <c r="F629" s="17"/>
    </row>
    <row r="630" spans="1:6" s="92" customFormat="1" ht="23.25" x14ac:dyDescent="0.55000000000000004">
      <c r="A630" s="23">
        <v>1536160</v>
      </c>
      <c r="B630" s="24">
        <f>2500+13795.5+24813+15364.5+257191.2+523619.6+23492.6+23492.6</f>
        <v>884269</v>
      </c>
      <c r="C630" s="20"/>
      <c r="D630" s="30" t="s">
        <v>41</v>
      </c>
      <c r="E630" s="22" t="s">
        <v>45</v>
      </c>
      <c r="F630" s="23">
        <v>23492.6</v>
      </c>
    </row>
    <row r="631" spans="1:6" s="92" customFormat="1" ht="23.25" x14ac:dyDescent="0.55000000000000004">
      <c r="A631" s="97">
        <v>2624640</v>
      </c>
      <c r="B631" s="24">
        <f>218720+218720+218720+218720+218720+218720+218720</f>
        <v>1531040</v>
      </c>
      <c r="C631" s="29"/>
      <c r="D631" s="30" t="s">
        <v>46</v>
      </c>
      <c r="E631" s="22" t="s">
        <v>47</v>
      </c>
      <c r="F631" s="23">
        <v>218720</v>
      </c>
    </row>
    <row r="632" spans="1:6" s="92" customFormat="1" ht="23.25" x14ac:dyDescent="0.55000000000000004">
      <c r="A632" s="98">
        <f>4541000+35000+1527000</f>
        <v>6103000</v>
      </c>
      <c r="B632" s="24">
        <f>393371.37+452770+451790+658236.2-257191.2+515839+410025+403685</f>
        <v>3028525.37</v>
      </c>
      <c r="C632" s="29"/>
      <c r="D632" s="30" t="s">
        <v>48</v>
      </c>
      <c r="E632" s="22" t="s">
        <v>47</v>
      </c>
      <c r="F632" s="24">
        <v>403685</v>
      </c>
    </row>
    <row r="633" spans="1:6" s="92" customFormat="1" ht="23.25" x14ac:dyDescent="0.55000000000000004">
      <c r="A633" s="23">
        <f>110000+10000+76000</f>
        <v>196000</v>
      </c>
      <c r="B633" s="24">
        <f>3500+22700+18020+6170+7700+3500+6500</f>
        <v>68090</v>
      </c>
      <c r="C633" s="29"/>
      <c r="D633" s="30" t="s">
        <v>49</v>
      </c>
      <c r="E633" s="22" t="s">
        <v>47</v>
      </c>
      <c r="F633" s="23">
        <v>6500</v>
      </c>
    </row>
    <row r="634" spans="1:6" s="92" customFormat="1" ht="23.25" x14ac:dyDescent="0.55000000000000004">
      <c r="A634" s="23">
        <f>399000+210000+450000+100000+20000+80000+110000+880000+10000+100000</f>
        <v>2359000</v>
      </c>
      <c r="B634" s="24">
        <f>126305+47540+157877+175805.73+330000+86823+49666+11340+110521+23400</f>
        <v>1119277.73</v>
      </c>
      <c r="C634" s="29"/>
      <c r="D634" s="30" t="s">
        <v>50</v>
      </c>
      <c r="E634" s="22" t="s">
        <v>51</v>
      </c>
      <c r="F634" s="23">
        <v>110521</v>
      </c>
    </row>
    <row r="635" spans="1:6" s="92" customFormat="1" ht="23.25" x14ac:dyDescent="0.55000000000000004">
      <c r="A635" s="23">
        <f>374000+55000+510000+20000+300000+10000+400000</f>
        <v>1669000</v>
      </c>
      <c r="B635" s="23">
        <f>8670+35781+199291.9+174658.67+39108+128317.8</f>
        <v>585827.37</v>
      </c>
      <c r="C635" s="29"/>
      <c r="D635" s="30" t="s">
        <v>52</v>
      </c>
      <c r="E635" s="22" t="s">
        <v>53</v>
      </c>
      <c r="F635" s="23">
        <v>128317.8</v>
      </c>
    </row>
    <row r="636" spans="1:6" s="92" customFormat="1" ht="23.25" x14ac:dyDescent="0.55000000000000004">
      <c r="A636" s="23">
        <f>271000+1100000</f>
        <v>1371000</v>
      </c>
      <c r="B636" s="24">
        <f>115218.49+932+105203.83+119261.79+219683.14+120076.86</f>
        <v>680376.11</v>
      </c>
      <c r="C636" s="29"/>
      <c r="D636" s="30" t="s">
        <v>54</v>
      </c>
      <c r="E636" s="22" t="s">
        <v>55</v>
      </c>
      <c r="F636" s="24"/>
    </row>
    <row r="637" spans="1:6" s="92" customFormat="1" ht="23.25" x14ac:dyDescent="0.55000000000000004">
      <c r="A637" s="23">
        <f>740000+105000+20000</f>
        <v>865000</v>
      </c>
      <c r="B637" s="24">
        <f>217000+167000</f>
        <v>384000</v>
      </c>
      <c r="C637" s="29"/>
      <c r="D637" s="30" t="s">
        <v>25</v>
      </c>
      <c r="E637" s="22" t="s">
        <v>56</v>
      </c>
      <c r="F637" s="24"/>
    </row>
    <row r="638" spans="1:6" s="92" customFormat="1" ht="23.25" x14ac:dyDescent="0.55000000000000004">
      <c r="A638" s="23">
        <f>208100+100000+9600+256000</f>
        <v>573700</v>
      </c>
      <c r="B638" s="24">
        <v>223683.23</v>
      </c>
      <c r="C638" s="29"/>
      <c r="D638" s="30" t="s">
        <v>57</v>
      </c>
      <c r="E638" s="22" t="s">
        <v>58</v>
      </c>
      <c r="F638" s="24"/>
    </row>
    <row r="639" spans="1:6" s="92" customFormat="1" ht="23.25" x14ac:dyDescent="0.55000000000000004">
      <c r="A639" s="24">
        <v>4682500</v>
      </c>
      <c r="B639" s="24">
        <v>1836000</v>
      </c>
      <c r="C639" s="29"/>
      <c r="D639" s="30" t="s">
        <v>59</v>
      </c>
      <c r="E639" s="22" t="s">
        <v>60</v>
      </c>
      <c r="F639" s="24"/>
    </row>
    <row r="640" spans="1:6" s="92" customFormat="1" ht="23.25" x14ac:dyDescent="0.55000000000000004">
      <c r="A640" s="23">
        <v>20000</v>
      </c>
      <c r="B640" s="23">
        <v>0</v>
      </c>
      <c r="C640" s="29"/>
      <c r="D640" s="30" t="s">
        <v>61</v>
      </c>
      <c r="E640" s="22" t="s">
        <v>62</v>
      </c>
      <c r="F640" s="23">
        <v>0</v>
      </c>
    </row>
    <row r="641" spans="1:6" s="92" customFormat="1" ht="23.25" x14ac:dyDescent="0.55000000000000004">
      <c r="A641" s="17"/>
      <c r="B641" s="17"/>
      <c r="C641" s="29"/>
      <c r="D641" s="31"/>
      <c r="E641" s="27"/>
      <c r="F641" s="17">
        <v>0</v>
      </c>
    </row>
    <row r="642" spans="1:6" s="92" customFormat="1" ht="24" thickBot="1" x14ac:dyDescent="0.6">
      <c r="A642" s="28">
        <f>SUM(A630:A641)</f>
        <v>22000000</v>
      </c>
      <c r="B642" s="28">
        <f>SUM(B630:B641)</f>
        <v>10341088.810000001</v>
      </c>
      <c r="C642" s="45"/>
      <c r="D642" s="46" t="s">
        <v>13</v>
      </c>
      <c r="E642" s="28" t="s">
        <v>13</v>
      </c>
      <c r="F642" s="28">
        <f>SUM(F630:F641)</f>
        <v>891236.4</v>
      </c>
    </row>
    <row r="643" spans="1:6" s="92" customFormat="1" ht="24" thickTop="1" x14ac:dyDescent="0.55000000000000004">
      <c r="A643" s="465"/>
      <c r="B643" s="47"/>
      <c r="C643" s="48"/>
      <c r="D643" s="49"/>
      <c r="E643" s="50"/>
      <c r="F643" s="50"/>
    </row>
    <row r="644" spans="1:6" s="92" customFormat="1" ht="23.25" x14ac:dyDescent="0.55000000000000004">
      <c r="A644" s="466"/>
      <c r="B644" s="24">
        <v>0</v>
      </c>
      <c r="C644" s="20"/>
      <c r="D644" s="30" t="s">
        <v>321</v>
      </c>
      <c r="E644" s="22"/>
      <c r="F644" s="23">
        <v>0</v>
      </c>
    </row>
    <row r="645" spans="1:6" s="92" customFormat="1" ht="23.25" x14ac:dyDescent="0.55000000000000004">
      <c r="A645" s="466"/>
      <c r="B645" s="24">
        <f>672000+334100+332300+331100+656900</f>
        <v>2326400</v>
      </c>
      <c r="C645" s="20"/>
      <c r="D645" s="30" t="s">
        <v>63</v>
      </c>
      <c r="E645" s="22"/>
      <c r="F645" s="23">
        <f>327200+329700</f>
        <v>656900</v>
      </c>
    </row>
    <row r="646" spans="1:6" s="92" customFormat="1" ht="23.25" x14ac:dyDescent="0.55000000000000004">
      <c r="A646" s="466"/>
      <c r="B646" s="24">
        <f>91200+45600+45600+44800+44800+44800</f>
        <v>316800</v>
      </c>
      <c r="C646" s="20"/>
      <c r="D646" s="30" t="s">
        <v>64</v>
      </c>
      <c r="E646" s="22"/>
      <c r="F646" s="23">
        <v>44800</v>
      </c>
    </row>
    <row r="647" spans="1:6" s="92" customFormat="1" ht="23.25" x14ac:dyDescent="0.55000000000000004">
      <c r="A647" s="413"/>
      <c r="B647" s="24"/>
      <c r="C647" s="29"/>
      <c r="D647" s="30" t="s">
        <v>65</v>
      </c>
      <c r="E647" s="22"/>
      <c r="F647" s="24"/>
    </row>
    <row r="648" spans="1:6" s="92" customFormat="1" ht="23.25" x14ac:dyDescent="0.55000000000000004">
      <c r="A648" s="466"/>
      <c r="B648" s="45">
        <v>2248274</v>
      </c>
      <c r="C648" s="45"/>
      <c r="D648" s="46" t="s">
        <v>33</v>
      </c>
      <c r="E648" s="23"/>
      <c r="F648" s="23"/>
    </row>
    <row r="649" spans="1:6" s="92" customFormat="1" ht="23.25" x14ac:dyDescent="0.55000000000000004">
      <c r="A649" s="31"/>
      <c r="B649" s="51">
        <f>961000+760000+59000+441000</f>
        <v>2221000</v>
      </c>
      <c r="C649" s="29"/>
      <c r="D649" s="30" t="s">
        <v>67</v>
      </c>
      <c r="E649" s="22" t="s">
        <v>68</v>
      </c>
      <c r="F649" s="23"/>
    </row>
    <row r="650" spans="1:6" s="92" customFormat="1" ht="23.25" x14ac:dyDescent="0.55000000000000004">
      <c r="A650" s="31"/>
      <c r="B650" s="51">
        <f>330000+23400+11340</f>
        <v>364740</v>
      </c>
      <c r="C650" s="29"/>
      <c r="D650" s="31" t="s">
        <v>66</v>
      </c>
      <c r="E650" s="27" t="s">
        <v>32</v>
      </c>
      <c r="F650" s="17"/>
    </row>
    <row r="651" spans="1:6" s="92" customFormat="1" ht="23.25" x14ac:dyDescent="0.55000000000000004">
      <c r="A651" s="31"/>
      <c r="B651" s="51">
        <f>382100+381100+329700</f>
        <v>1092900</v>
      </c>
      <c r="C651" s="29"/>
      <c r="D651" s="30" t="s">
        <v>69</v>
      </c>
      <c r="E651" s="22" t="s">
        <v>36</v>
      </c>
      <c r="F651" s="24"/>
    </row>
    <row r="652" spans="1:6" s="92" customFormat="1" ht="23.25" x14ac:dyDescent="0.55000000000000004">
      <c r="A652" s="31"/>
      <c r="B652" s="51">
        <f>16513.35+21992.05+39555.32+5901.77+5419.83+22043.45+25449.27-45050</f>
        <v>91825.040000000008</v>
      </c>
      <c r="C652" s="29"/>
      <c r="D652" s="30" t="s">
        <v>70</v>
      </c>
      <c r="E652" s="22" t="s">
        <v>38</v>
      </c>
      <c r="F652" s="24">
        <v>25449.27</v>
      </c>
    </row>
    <row r="653" spans="1:6" s="92" customFormat="1" ht="23.25" x14ac:dyDescent="0.55000000000000004">
      <c r="A653" s="31"/>
      <c r="B653" s="23">
        <f>11295.5+10709+12864.5+12039+11467+11467</f>
        <v>69842</v>
      </c>
      <c r="C653" s="19"/>
      <c r="D653" s="30" t="s">
        <v>493</v>
      </c>
      <c r="E653" s="53"/>
      <c r="F653" s="24">
        <v>11467</v>
      </c>
    </row>
    <row r="654" spans="1:6" s="92" customFormat="1" ht="23.25" x14ac:dyDescent="0.55000000000000004">
      <c r="A654" s="31"/>
      <c r="B654" s="24"/>
      <c r="C654" s="19"/>
      <c r="D654" s="52" t="s">
        <v>105</v>
      </c>
      <c r="E654" s="53"/>
      <c r="F654" s="24"/>
    </row>
    <row r="655" spans="1:6" s="92" customFormat="1" ht="23.25" x14ac:dyDescent="0.55000000000000004">
      <c r="A655" s="31"/>
      <c r="B655" s="24"/>
      <c r="C655" s="19"/>
      <c r="D655" s="30" t="s">
        <v>71</v>
      </c>
      <c r="E655" s="22"/>
      <c r="F655" s="24"/>
    </row>
    <row r="656" spans="1:6" s="92" customFormat="1" ht="23.25" x14ac:dyDescent="0.55000000000000004">
      <c r="A656" s="31"/>
      <c r="B656" s="24">
        <f>308000+395000</f>
        <v>703000</v>
      </c>
      <c r="C656" s="29"/>
      <c r="D656" s="30" t="s">
        <v>102</v>
      </c>
      <c r="E656" s="22"/>
      <c r="F656" s="24"/>
    </row>
    <row r="657" spans="1:6" s="92" customFormat="1" ht="23.25" x14ac:dyDescent="0.55000000000000004">
      <c r="A657" s="31"/>
      <c r="B657" s="98">
        <f>61820+115526.5+61440+61440+61440</f>
        <v>361666.5</v>
      </c>
      <c r="C657" s="394"/>
      <c r="D657" s="30" t="s">
        <v>615</v>
      </c>
      <c r="E657" s="384"/>
      <c r="F657" s="98">
        <v>61440</v>
      </c>
    </row>
    <row r="658" spans="1:6" s="92" customFormat="1" ht="24" x14ac:dyDescent="0.55000000000000004">
      <c r="A658" s="31"/>
      <c r="B658" s="24">
        <f>5500+8600+129440+3315+45050</f>
        <v>191905</v>
      </c>
      <c r="C658" s="29"/>
      <c r="D658" s="439" t="s">
        <v>529</v>
      </c>
      <c r="E658" s="22"/>
      <c r="F658" s="24"/>
    </row>
    <row r="659" spans="1:6" s="92" customFormat="1" ht="24" x14ac:dyDescent="0.55000000000000004">
      <c r="A659" s="31"/>
      <c r="B659" s="24">
        <v>179250</v>
      </c>
      <c r="C659" s="29"/>
      <c r="D659" s="439" t="s">
        <v>535</v>
      </c>
      <c r="E659" s="22"/>
      <c r="F659" s="24"/>
    </row>
    <row r="660" spans="1:6" s="92" customFormat="1" ht="24" x14ac:dyDescent="0.55000000000000004">
      <c r="A660" s="31"/>
      <c r="B660" s="24">
        <f>25131+410</f>
        <v>25541</v>
      </c>
      <c r="C660" s="29"/>
      <c r="D660" s="439" t="s">
        <v>528</v>
      </c>
      <c r="E660" s="22"/>
      <c r="F660" s="24">
        <v>410</v>
      </c>
    </row>
    <row r="661" spans="1:6" s="92" customFormat="1" ht="23.25" x14ac:dyDescent="0.55000000000000004">
      <c r="A661" s="31"/>
      <c r="B661" s="24">
        <v>1061725.6399999999</v>
      </c>
      <c r="C661" s="29"/>
      <c r="D661" s="30" t="s">
        <v>621</v>
      </c>
      <c r="E661" s="22"/>
      <c r="F661" s="24">
        <v>1061725.6399999999</v>
      </c>
    </row>
    <row r="662" spans="1:6" s="92" customFormat="1" ht="23.25" x14ac:dyDescent="0.55000000000000004">
      <c r="A662" s="31"/>
      <c r="B662" s="54">
        <f>1284600+2997400</f>
        <v>4282000</v>
      </c>
      <c r="C662" s="66"/>
      <c r="D662" s="552" t="s">
        <v>517</v>
      </c>
      <c r="E662" s="553"/>
      <c r="F662" s="55"/>
    </row>
    <row r="663" spans="1:6" s="92" customFormat="1" ht="23.25" x14ac:dyDescent="0.55000000000000004">
      <c r="A663" s="31"/>
      <c r="B663" s="37">
        <f>SUM(B644:B662)</f>
        <v>15536869.18</v>
      </c>
      <c r="C663" s="823" t="s">
        <v>72</v>
      </c>
      <c r="D663" s="823"/>
      <c r="E663" s="56"/>
      <c r="F663" s="37">
        <f>SUM(F644:F662)</f>
        <v>1862191.91</v>
      </c>
    </row>
    <row r="664" spans="1:6" s="92" customFormat="1" ht="23.25" x14ac:dyDescent="0.55000000000000004">
      <c r="A664" s="31"/>
      <c r="B664" s="57">
        <f>SUM(B663+B642)</f>
        <v>25877957.990000002</v>
      </c>
      <c r="C664" s="824" t="s">
        <v>73</v>
      </c>
      <c r="D664" s="823"/>
      <c r="E664" s="56"/>
      <c r="F664" s="37">
        <f>SUM(F663+F642)</f>
        <v>2753428.31</v>
      </c>
    </row>
    <row r="665" spans="1:6" s="92" customFormat="1" ht="23.25" x14ac:dyDescent="0.55000000000000004">
      <c r="A665" s="31"/>
      <c r="B665" s="37"/>
      <c r="C665" s="824" t="s">
        <v>74</v>
      </c>
      <c r="D665" s="823"/>
      <c r="E665" s="56"/>
      <c r="F665" s="37" t="s">
        <v>13</v>
      </c>
    </row>
    <row r="666" spans="1:6" s="92" customFormat="1" ht="23.25" x14ac:dyDescent="0.55000000000000004">
      <c r="A666" s="31"/>
      <c r="B666" s="58">
        <f>SUM(B622-B664)</f>
        <v>-576841.94000000134</v>
      </c>
      <c r="C666" s="824" t="s">
        <v>75</v>
      </c>
      <c r="D666" s="823"/>
      <c r="E666" s="56"/>
      <c r="F666" s="59">
        <f>SUM(F622-F664)</f>
        <v>941576.12999999989</v>
      </c>
    </row>
    <row r="667" spans="1:6" s="92" customFormat="1" ht="23.25" x14ac:dyDescent="0.55000000000000004">
      <c r="A667" s="31"/>
      <c r="B667" s="60">
        <f>SUM(B666+B586)</f>
        <v>13090137.369999999</v>
      </c>
      <c r="C667" s="824"/>
      <c r="D667" s="823"/>
      <c r="E667" s="56"/>
      <c r="F667" s="37">
        <f>SUM(F666+F586)</f>
        <v>13090137.370000001</v>
      </c>
    </row>
    <row r="668" spans="1:6" s="92" customFormat="1" ht="5.25" customHeight="1" x14ac:dyDescent="0.5">
      <c r="A668" s="61"/>
      <c r="B668" s="61"/>
      <c r="C668" s="546"/>
      <c r="D668" s="546"/>
      <c r="E668" s="62"/>
      <c r="F668" s="63"/>
    </row>
    <row r="669" spans="1:6" s="826" customFormat="1" ht="18.75" x14ac:dyDescent="0.45">
      <c r="A669" s="825" t="s">
        <v>547</v>
      </c>
    </row>
    <row r="670" spans="1:6" s="99" customFormat="1" ht="18.75" x14ac:dyDescent="0.45">
      <c r="A670" s="545" t="s">
        <v>546</v>
      </c>
      <c r="B670" s="545"/>
      <c r="C670" s="545"/>
      <c r="D670" s="545"/>
      <c r="E670" s="545"/>
      <c r="F670" s="545"/>
    </row>
    <row r="671" spans="1:6" s="99" customFormat="1" ht="18.75" x14ac:dyDescent="0.45">
      <c r="A671" s="545" t="s">
        <v>519</v>
      </c>
      <c r="B671" s="545"/>
      <c r="C671" s="545"/>
      <c r="D671" s="545"/>
      <c r="E671" s="545"/>
      <c r="F671" s="545"/>
    </row>
    <row r="672" spans="1:6" s="92" customFormat="1" ht="18.75" x14ac:dyDescent="0.45">
      <c r="A672" s="545"/>
      <c r="B672" s="545"/>
      <c r="C672" s="545"/>
      <c r="D672" s="545" t="s">
        <v>545</v>
      </c>
      <c r="E672" s="545"/>
      <c r="F672" s="545"/>
    </row>
    <row r="673" spans="1:6" s="92" customFormat="1" ht="18.75" x14ac:dyDescent="0.45">
      <c r="A673" s="561"/>
      <c r="B673" s="561"/>
      <c r="C673" s="561"/>
      <c r="D673" s="561"/>
      <c r="E673" s="561"/>
      <c r="F673" s="561"/>
    </row>
    <row r="674" spans="1:6" s="92" customFormat="1" ht="18.75" x14ac:dyDescent="0.45">
      <c r="A674" s="561"/>
      <c r="B674" s="561"/>
      <c r="C674" s="561"/>
      <c r="D674" s="561"/>
      <c r="E674" s="561"/>
      <c r="F674" s="561"/>
    </row>
    <row r="675" spans="1:6" s="92" customFormat="1" ht="18.75" x14ac:dyDescent="0.45">
      <c r="A675" s="603"/>
      <c r="B675" s="603"/>
      <c r="C675" s="603"/>
      <c r="D675" s="603"/>
      <c r="E675" s="603"/>
      <c r="F675" s="603"/>
    </row>
    <row r="676" spans="1:6" s="92" customFormat="1" ht="24" x14ac:dyDescent="0.55000000000000004">
      <c r="A676" s="827" t="s">
        <v>0</v>
      </c>
      <c r="B676" s="827"/>
      <c r="C676" s="827"/>
      <c r="D676" s="827"/>
      <c r="E676" s="827"/>
      <c r="F676" s="827"/>
    </row>
    <row r="677" spans="1:6" s="92" customFormat="1" ht="24" x14ac:dyDescent="0.55000000000000004">
      <c r="A677" s="827" t="s">
        <v>1</v>
      </c>
      <c r="B677" s="827"/>
      <c r="C677" s="827"/>
      <c r="D677" s="827"/>
      <c r="E677" s="827"/>
      <c r="F677" s="827"/>
    </row>
    <row r="678" spans="1:6" s="92" customFormat="1" ht="24" x14ac:dyDescent="0.55000000000000004">
      <c r="A678" s="550"/>
      <c r="B678" s="550"/>
      <c r="C678" s="550"/>
      <c r="D678" s="550"/>
      <c r="E678" s="1" t="s">
        <v>544</v>
      </c>
      <c r="F678" s="2"/>
    </row>
    <row r="679" spans="1:6" s="92" customFormat="1" ht="30.75" x14ac:dyDescent="0.7">
      <c r="A679" s="828" t="s">
        <v>2</v>
      </c>
      <c r="B679" s="828"/>
      <c r="C679" s="828"/>
      <c r="D679" s="828"/>
      <c r="E679" s="828"/>
      <c r="F679" s="828"/>
    </row>
    <row r="680" spans="1:6" s="92" customFormat="1" ht="24.75" thickBot="1" x14ac:dyDescent="0.6">
      <c r="A680" s="3" t="s">
        <v>3</v>
      </c>
      <c r="B680" s="3"/>
      <c r="C680" s="3"/>
      <c r="D680" s="1" t="s">
        <v>622</v>
      </c>
      <c r="E680" s="1"/>
      <c r="F680" s="3"/>
    </row>
    <row r="681" spans="1:6" s="92" customFormat="1" ht="22.5" thickTop="1" x14ac:dyDescent="0.5">
      <c r="A681" s="829" t="s">
        <v>4</v>
      </c>
      <c r="B681" s="830"/>
      <c r="C681" s="831"/>
      <c r="D681" s="832"/>
      <c r="E681" s="5"/>
      <c r="F681" s="6" t="s">
        <v>5</v>
      </c>
    </row>
    <row r="682" spans="1:6" s="92" customFormat="1" ht="21.75" x14ac:dyDescent="0.5">
      <c r="A682" s="7" t="s">
        <v>6</v>
      </c>
      <c r="B682" s="7" t="s">
        <v>7</v>
      </c>
      <c r="E682" s="8" t="s">
        <v>8</v>
      </c>
      <c r="F682" s="9" t="s">
        <v>7</v>
      </c>
    </row>
    <row r="683" spans="1:6" s="92" customFormat="1" ht="22.5" thickBot="1" x14ac:dyDescent="0.55000000000000004">
      <c r="A683" s="10" t="s">
        <v>9</v>
      </c>
      <c r="B683" s="554" t="s">
        <v>9</v>
      </c>
      <c r="C683" s="819" t="s">
        <v>10</v>
      </c>
      <c r="D683" s="820"/>
      <c r="E683" s="11" t="s">
        <v>11</v>
      </c>
      <c r="F683" s="10" t="s">
        <v>9</v>
      </c>
    </row>
    <row r="684" spans="1:6" s="92" customFormat="1" ht="24" thickTop="1" x14ac:dyDescent="0.55000000000000004">
      <c r="A684" s="12"/>
      <c r="B684" s="13">
        <v>13666979.310000001</v>
      </c>
      <c r="C684" s="14" t="s">
        <v>12</v>
      </c>
      <c r="D684" s="15"/>
      <c r="E684" s="16"/>
      <c r="F684" s="17">
        <f>+F667</f>
        <v>13090137.370000001</v>
      </c>
    </row>
    <row r="685" spans="1:6" s="92" customFormat="1" ht="23.25" x14ac:dyDescent="0.55000000000000004">
      <c r="A685" s="18"/>
      <c r="B685" s="19" t="s">
        <v>13</v>
      </c>
      <c r="C685" s="20" t="s">
        <v>14</v>
      </c>
      <c r="D685" s="21"/>
      <c r="E685" s="22"/>
      <c r="F685" s="23"/>
    </row>
    <row r="686" spans="1:6" s="92" customFormat="1" ht="23.25" x14ac:dyDescent="0.55000000000000004">
      <c r="A686" s="23">
        <v>4070000</v>
      </c>
      <c r="B686" s="23">
        <f>24851.32+653.6+2296.15+837656.77+4155543.48+76917.34+7349.6</f>
        <v>5105268.26</v>
      </c>
      <c r="C686" s="93"/>
      <c r="D686" s="19" t="s">
        <v>15</v>
      </c>
      <c r="E686" s="22" t="s">
        <v>16</v>
      </c>
      <c r="F686" s="23">
        <v>7349.6</v>
      </c>
    </row>
    <row r="687" spans="1:6" s="92" customFormat="1" ht="23.25" x14ac:dyDescent="0.55000000000000004">
      <c r="A687" s="23">
        <v>83000</v>
      </c>
      <c r="B687" s="24">
        <f>562+814+684+3058+50+765+793.6+260.4+155.2+252.2+213.4+213.4+84320</f>
        <v>92141.2</v>
      </c>
      <c r="C687" s="93"/>
      <c r="D687" s="19" t="s">
        <v>17</v>
      </c>
      <c r="E687" s="22" t="s">
        <v>18</v>
      </c>
      <c r="F687" s="24">
        <v>260.39999999999998</v>
      </c>
    </row>
    <row r="688" spans="1:6" s="92" customFormat="1" ht="23.25" x14ac:dyDescent="0.55000000000000004">
      <c r="A688" s="23">
        <v>110000</v>
      </c>
      <c r="B688" s="24">
        <f>33122.75+16284.37</f>
        <v>49407.12</v>
      </c>
      <c r="C688" s="93"/>
      <c r="D688" s="19" t="s">
        <v>19</v>
      </c>
      <c r="E688" s="22" t="s">
        <v>20</v>
      </c>
      <c r="F688" s="24">
        <v>0</v>
      </c>
    </row>
    <row r="689" spans="1:6" s="92" customFormat="1" ht="23.25" x14ac:dyDescent="0.55000000000000004">
      <c r="A689" s="23">
        <v>1005000</v>
      </c>
      <c r="B689" s="24">
        <f>41413+41107+47949+77291+68760+118469+66193+43970</f>
        <v>505152</v>
      </c>
      <c r="C689" s="93"/>
      <c r="D689" s="19" t="s">
        <v>21</v>
      </c>
      <c r="E689" s="22" t="s">
        <v>22</v>
      </c>
      <c r="F689" s="24">
        <v>43970</v>
      </c>
    </row>
    <row r="690" spans="1:6" s="92" customFormat="1" ht="23.25" x14ac:dyDescent="0.55000000000000004">
      <c r="A690" s="23">
        <v>90000</v>
      </c>
      <c r="B690" s="23">
        <f>3500+7200+378217.34+4500</f>
        <v>393417.34</v>
      </c>
      <c r="C690" s="93"/>
      <c r="D690" s="19" t="s">
        <v>23</v>
      </c>
      <c r="E690" s="22" t="s">
        <v>24</v>
      </c>
      <c r="F690" s="24">
        <v>4500</v>
      </c>
    </row>
    <row r="691" spans="1:6" s="92" customFormat="1" ht="23.25" x14ac:dyDescent="0.55000000000000004">
      <c r="A691" s="24">
        <v>2000</v>
      </c>
      <c r="B691" s="23">
        <v>3665</v>
      </c>
      <c r="C691" s="93"/>
      <c r="D691" s="19" t="s">
        <v>106</v>
      </c>
      <c r="E691" s="22" t="s">
        <v>26</v>
      </c>
      <c r="F691" s="23">
        <v>0</v>
      </c>
    </row>
    <row r="692" spans="1:6" s="92" customFormat="1" ht="23.25" x14ac:dyDescent="0.55000000000000004">
      <c r="A692" s="23">
        <v>11890000</v>
      </c>
      <c r="B692" s="23">
        <f>956708.22+877096.73+606176.86+458872.06+1019505.61+1018763.38+662121.78+1199829.46-155.2-252.2-213.4-213.4</f>
        <v>6798239.8999999994</v>
      </c>
      <c r="C692" s="19"/>
      <c r="D692" s="19" t="s">
        <v>107</v>
      </c>
      <c r="E692" s="22"/>
      <c r="F692" s="23">
        <v>1199829.46</v>
      </c>
    </row>
    <row r="693" spans="1:6" s="92" customFormat="1" ht="23.25" x14ac:dyDescent="0.55000000000000004">
      <c r="A693" s="55">
        <v>4750000</v>
      </c>
      <c r="B693" s="17">
        <f>1357655+1386596+466460</f>
        <v>3210711</v>
      </c>
      <c r="C693" s="94"/>
      <c r="D693" s="26" t="s">
        <v>108</v>
      </c>
      <c r="E693" s="27"/>
      <c r="F693" s="17"/>
    </row>
    <row r="694" spans="1:6" s="92" customFormat="1" ht="24" thickBot="1" x14ac:dyDescent="0.6">
      <c r="A694" s="28">
        <f>SUM(A686:A693)</f>
        <v>22000000</v>
      </c>
      <c r="B694" s="28">
        <f>SUM(B686:B693)</f>
        <v>16158001.82</v>
      </c>
      <c r="C694" s="29"/>
      <c r="D694" s="30"/>
      <c r="E694" s="22"/>
      <c r="F694" s="28">
        <f>SUM(F686:F693)</f>
        <v>1255909.46</v>
      </c>
    </row>
    <row r="695" spans="1:6" s="92" customFormat="1" ht="24" thickTop="1" x14ac:dyDescent="0.55000000000000004">
      <c r="A695" s="13"/>
      <c r="B695" s="23">
        <v>0</v>
      </c>
      <c r="C695" s="65"/>
      <c r="D695" s="19" t="s">
        <v>27</v>
      </c>
      <c r="E695" s="22"/>
      <c r="F695" s="23">
        <v>0</v>
      </c>
    </row>
    <row r="696" spans="1:6" s="92" customFormat="1" ht="23.25" x14ac:dyDescent="0.55000000000000004">
      <c r="A696" s="13"/>
      <c r="B696" s="23">
        <v>0</v>
      </c>
      <c r="C696" s="29"/>
      <c r="D696" s="19" t="s">
        <v>28</v>
      </c>
      <c r="E696" s="22"/>
      <c r="F696" s="23">
        <v>0</v>
      </c>
    </row>
    <row r="697" spans="1:6" s="92" customFormat="1" ht="23.25" x14ac:dyDescent="0.55000000000000004">
      <c r="A697" s="13"/>
      <c r="B697" s="23">
        <f>187.15+394.25+228.95+6516.05+95.95+123.5+791.35</f>
        <v>8337.1999999999989</v>
      </c>
      <c r="C697" s="66"/>
      <c r="D697" s="19" t="s">
        <v>29</v>
      </c>
      <c r="E697" s="22"/>
      <c r="F697" s="23">
        <v>123.5</v>
      </c>
    </row>
    <row r="698" spans="1:6" s="92" customFormat="1" ht="23.25" x14ac:dyDescent="0.55000000000000004">
      <c r="A698" s="13"/>
      <c r="B698" s="23">
        <v>0</v>
      </c>
      <c r="C698" s="66"/>
      <c r="D698" s="19" t="s">
        <v>30</v>
      </c>
      <c r="E698" s="22"/>
      <c r="F698" s="23"/>
    </row>
    <row r="699" spans="1:6" s="92" customFormat="1" ht="23.25" x14ac:dyDescent="0.55000000000000004">
      <c r="A699" s="26"/>
      <c r="B699" s="23">
        <v>0</v>
      </c>
      <c r="C699" s="95"/>
      <c r="D699" s="19" t="s">
        <v>31</v>
      </c>
      <c r="E699" s="22" t="s">
        <v>32</v>
      </c>
      <c r="F699" s="23"/>
    </row>
    <row r="700" spans="1:6" s="92" customFormat="1" ht="23.25" x14ac:dyDescent="0.55000000000000004">
      <c r="A700" s="31"/>
      <c r="B700" s="23">
        <v>0</v>
      </c>
      <c r="C700" s="96"/>
      <c r="D700" s="19" t="s">
        <v>33</v>
      </c>
      <c r="E700" s="22" t="s">
        <v>34</v>
      </c>
      <c r="F700" s="23"/>
    </row>
    <row r="701" spans="1:6" s="92" customFormat="1" ht="23.25" x14ac:dyDescent="0.55000000000000004">
      <c r="A701" s="31"/>
      <c r="B701" s="23">
        <v>763200</v>
      </c>
      <c r="C701" s="96"/>
      <c r="D701" s="26" t="s">
        <v>35</v>
      </c>
      <c r="E701" s="22" t="s">
        <v>36</v>
      </c>
      <c r="F701" s="23"/>
    </row>
    <row r="702" spans="1:6" s="92" customFormat="1" ht="23.25" x14ac:dyDescent="0.55000000000000004">
      <c r="A702" s="31"/>
      <c r="B702" s="51">
        <f>463927.91-45050</f>
        <v>418877.91</v>
      </c>
      <c r="C702" s="96"/>
      <c r="D702" s="19" t="s">
        <v>37</v>
      </c>
      <c r="E702" s="27" t="s">
        <v>38</v>
      </c>
      <c r="F702" s="23">
        <v>24055.33</v>
      </c>
    </row>
    <row r="703" spans="1:6" s="92" customFormat="1" ht="23.25" x14ac:dyDescent="0.55000000000000004">
      <c r="A703" s="31"/>
      <c r="B703" s="23"/>
      <c r="C703" s="96"/>
      <c r="D703" s="19" t="s">
        <v>538</v>
      </c>
      <c r="E703" s="22" t="s">
        <v>39</v>
      </c>
      <c r="F703" s="23"/>
    </row>
    <row r="704" spans="1:6" s="92" customFormat="1" ht="23.25" x14ac:dyDescent="0.55000000000000004">
      <c r="A704" s="31"/>
      <c r="B704" s="23">
        <f>21800+186690+142415+251350</f>
        <v>602255</v>
      </c>
      <c r="C704" s="96"/>
      <c r="D704" s="33" t="s">
        <v>539</v>
      </c>
      <c r="E704" s="32"/>
      <c r="F704" s="23"/>
    </row>
    <row r="705" spans="1:6" s="92" customFormat="1" ht="23.25" x14ac:dyDescent="0.55000000000000004">
      <c r="A705" s="31"/>
      <c r="B705" s="23">
        <f>1090+3420+2280+4560</f>
        <v>11350</v>
      </c>
      <c r="C705" s="96"/>
      <c r="D705" s="33" t="s">
        <v>627</v>
      </c>
      <c r="E705" s="32"/>
      <c r="F705" s="23"/>
    </row>
    <row r="706" spans="1:6" s="92" customFormat="1" ht="23.25" x14ac:dyDescent="0.55000000000000004">
      <c r="A706" s="31"/>
      <c r="B706" s="23"/>
      <c r="C706" s="96"/>
      <c r="D706" s="33" t="s">
        <v>40</v>
      </c>
      <c r="E706" s="34"/>
      <c r="F706" s="23"/>
    </row>
    <row r="707" spans="1:6" s="92" customFormat="1" ht="23.25" x14ac:dyDescent="0.55000000000000004">
      <c r="A707" s="31"/>
      <c r="B707" s="23">
        <f>1284600+2997400</f>
        <v>4282000</v>
      </c>
      <c r="C707" s="93"/>
      <c r="D707" s="33" t="s">
        <v>628</v>
      </c>
      <c r="E707" s="22"/>
      <c r="F707" s="23"/>
    </row>
    <row r="708" spans="1:6" s="92" customFormat="1" ht="23.25" x14ac:dyDescent="0.55000000000000004">
      <c r="A708" s="31"/>
      <c r="B708" s="23">
        <f>6383.34+169</f>
        <v>6552.34</v>
      </c>
      <c r="C708" s="96"/>
      <c r="D708" s="438" t="s">
        <v>42</v>
      </c>
      <c r="E708" s="22"/>
      <c r="F708" s="23"/>
    </row>
    <row r="709" spans="1:6" s="92" customFormat="1" ht="23.25" x14ac:dyDescent="0.55000000000000004">
      <c r="A709" s="31"/>
      <c r="B709" s="23">
        <v>50400</v>
      </c>
      <c r="C709" s="96"/>
      <c r="D709" s="438" t="s">
        <v>524</v>
      </c>
      <c r="E709" s="22"/>
      <c r="F709" s="23"/>
    </row>
    <row r="710" spans="1:6" s="92" customFormat="1" ht="23.25" x14ac:dyDescent="0.55000000000000004">
      <c r="A710" s="31"/>
      <c r="B710" s="23">
        <f>1011900+674600+657800+331700</f>
        <v>2676000</v>
      </c>
      <c r="C710" s="96"/>
      <c r="D710" s="438" t="s">
        <v>525</v>
      </c>
      <c r="E710" s="22"/>
      <c r="F710" s="23">
        <v>331700</v>
      </c>
    </row>
    <row r="711" spans="1:6" s="92" customFormat="1" ht="23.25" x14ac:dyDescent="0.55000000000000004">
      <c r="A711" s="31"/>
      <c r="B711" s="23">
        <f>136800+136800+45600+45600</f>
        <v>364800</v>
      </c>
      <c r="C711" s="96"/>
      <c r="D711" s="438" t="s">
        <v>526</v>
      </c>
      <c r="E711" s="22"/>
      <c r="F711" s="23">
        <v>45600</v>
      </c>
    </row>
    <row r="712" spans="1:6" s="92" customFormat="1" ht="23.25" x14ac:dyDescent="0.55000000000000004">
      <c r="A712" s="31"/>
      <c r="B712" s="23">
        <f>430+24701+410</f>
        <v>25541</v>
      </c>
      <c r="C712" s="96"/>
      <c r="D712" s="438" t="s">
        <v>528</v>
      </c>
      <c r="E712" s="22"/>
      <c r="F712" s="23"/>
    </row>
    <row r="713" spans="1:6" s="92" customFormat="1" ht="23.25" x14ac:dyDescent="0.55000000000000004">
      <c r="A713" s="31"/>
      <c r="B713" s="23">
        <f>393350+38750+41378+45050+8600</f>
        <v>527128</v>
      </c>
      <c r="C713" s="96"/>
      <c r="D713" s="438" t="s">
        <v>532</v>
      </c>
      <c r="E713" s="22"/>
      <c r="F713" s="23"/>
    </row>
    <row r="714" spans="1:6" s="92" customFormat="1" ht="23.25" x14ac:dyDescent="0.55000000000000004">
      <c r="A714" s="31"/>
      <c r="B714" s="23">
        <v>82.43</v>
      </c>
      <c r="C714" s="437"/>
      <c r="D714" s="438" t="s">
        <v>533</v>
      </c>
      <c r="E714" s="22"/>
      <c r="F714" s="23"/>
    </row>
    <row r="715" spans="1:6" s="92" customFormat="1" ht="23.25" x14ac:dyDescent="0.55000000000000004">
      <c r="A715" s="31"/>
      <c r="B715" s="23">
        <v>2250</v>
      </c>
      <c r="C715" s="93"/>
      <c r="D715" s="19" t="s">
        <v>534</v>
      </c>
      <c r="E715" s="22"/>
      <c r="F715" s="23"/>
    </row>
    <row r="716" spans="1:6" s="92" customFormat="1" ht="23.25" x14ac:dyDescent="0.55000000000000004">
      <c r="A716" s="31"/>
      <c r="B716" s="23"/>
      <c r="C716" s="93"/>
      <c r="D716" s="19" t="s">
        <v>543</v>
      </c>
      <c r="E716" s="22"/>
      <c r="F716" s="23"/>
    </row>
    <row r="717" spans="1:6" s="92" customFormat="1" ht="23.25" x14ac:dyDescent="0.55000000000000004">
      <c r="A717" s="31"/>
      <c r="B717" s="23">
        <v>3</v>
      </c>
      <c r="C717" s="383"/>
      <c r="D717" s="19" t="s">
        <v>619</v>
      </c>
      <c r="E717" s="384"/>
      <c r="F717" s="23"/>
    </row>
    <row r="718" spans="1:6" s="92" customFormat="1" ht="23.25" x14ac:dyDescent="0.55000000000000004">
      <c r="A718" s="31"/>
      <c r="B718" s="23">
        <f>1061725.64+1253700</f>
        <v>2315425.6399999997</v>
      </c>
      <c r="C718" s="96"/>
      <c r="D718" s="30" t="s">
        <v>620</v>
      </c>
      <c r="E718" s="22"/>
      <c r="F718" s="23">
        <v>1253700</v>
      </c>
    </row>
    <row r="719" spans="1:6" s="92" customFormat="1" ht="23.25" x14ac:dyDescent="0.55000000000000004">
      <c r="A719" s="31"/>
      <c r="B719" s="35">
        <f>SUM(B695:B718)</f>
        <v>12054202.52</v>
      </c>
      <c r="C719" s="824" t="s">
        <v>43</v>
      </c>
      <c r="D719" s="823"/>
      <c r="E719" s="56"/>
      <c r="F719" s="25">
        <f>SUM(F695:F718)</f>
        <v>1655178.83</v>
      </c>
    </row>
    <row r="720" spans="1:6" s="92" customFormat="1" ht="23.25" x14ac:dyDescent="0.55000000000000004">
      <c r="A720" s="31"/>
      <c r="B720" s="567">
        <f>SUM(B719+B694)</f>
        <v>28212204.34</v>
      </c>
      <c r="C720" s="555"/>
      <c r="D720" s="555"/>
      <c r="E720" s="56"/>
      <c r="F720" s="37">
        <f>SUM(F719+F694)</f>
        <v>2911088.29</v>
      </c>
    </row>
    <row r="721" spans="1:6" s="92" customFormat="1" ht="23.25" x14ac:dyDescent="0.55000000000000004">
      <c r="A721" s="26"/>
      <c r="B721" s="565"/>
      <c r="C721" s="560"/>
      <c r="D721" s="560"/>
      <c r="E721" s="566"/>
      <c r="F721" s="13"/>
    </row>
    <row r="722" spans="1:6" s="92" customFormat="1" ht="23.25" x14ac:dyDescent="0.55000000000000004">
      <c r="A722" s="26"/>
      <c r="B722" s="565"/>
      <c r="C722" s="560"/>
      <c r="D722" s="560"/>
      <c r="E722" s="566"/>
      <c r="F722" s="13"/>
    </row>
    <row r="723" spans="1:6" s="92" customFormat="1" ht="23.25" x14ac:dyDescent="0.55000000000000004">
      <c r="A723" s="26"/>
      <c r="B723" s="565"/>
      <c r="C723" s="577"/>
      <c r="D723" s="577"/>
      <c r="E723" s="566"/>
      <c r="F723" s="13"/>
    </row>
    <row r="724" spans="1:6" s="92" customFormat="1" ht="21.75" x14ac:dyDescent="0.5">
      <c r="A724" s="835" t="s">
        <v>4</v>
      </c>
      <c r="B724" s="836"/>
      <c r="C724" s="837"/>
      <c r="D724" s="838"/>
      <c r="E724" s="568"/>
      <c r="F724" s="569" t="s">
        <v>5</v>
      </c>
    </row>
    <row r="725" spans="1:6" s="92" customFormat="1" ht="21.75" x14ac:dyDescent="0.5">
      <c r="A725" s="7" t="s">
        <v>6</v>
      </c>
      <c r="B725" s="557" t="s">
        <v>7</v>
      </c>
      <c r="C725" s="819" t="s">
        <v>10</v>
      </c>
      <c r="D725" s="820"/>
      <c r="E725" s="8" t="s">
        <v>8</v>
      </c>
      <c r="F725" s="9" t="s">
        <v>7</v>
      </c>
    </row>
    <row r="726" spans="1:6" s="92" customFormat="1" ht="22.5" thickBot="1" x14ac:dyDescent="0.55000000000000004">
      <c r="A726" s="10" t="s">
        <v>9</v>
      </c>
      <c r="B726" s="554" t="s">
        <v>9</v>
      </c>
      <c r="C726" s="821"/>
      <c r="D726" s="822"/>
      <c r="E726" s="11" t="s">
        <v>11</v>
      </c>
      <c r="F726" s="10" t="s">
        <v>9</v>
      </c>
    </row>
    <row r="727" spans="1:6" s="92" customFormat="1" ht="24" thickTop="1" x14ac:dyDescent="0.55000000000000004">
      <c r="A727" s="43"/>
      <c r="B727" s="13"/>
      <c r="C727" s="44" t="s">
        <v>44</v>
      </c>
      <c r="D727" s="15"/>
      <c r="E727" s="16"/>
      <c r="F727" s="17"/>
    </row>
    <row r="728" spans="1:6" s="92" customFormat="1" ht="23.25" x14ac:dyDescent="0.55000000000000004">
      <c r="A728" s="23">
        <v>1536160</v>
      </c>
      <c r="B728" s="24">
        <f>2500+13795.5+24813+15364.5+257191.2+523619.6+23492.6+23492.6+23175.6</f>
        <v>907444.6</v>
      </c>
      <c r="C728" s="20"/>
      <c r="D728" s="30" t="s">
        <v>41</v>
      </c>
      <c r="E728" s="22" t="s">
        <v>45</v>
      </c>
      <c r="F728" s="23">
        <v>23175.599999999999</v>
      </c>
    </row>
    <row r="729" spans="1:6" s="92" customFormat="1" ht="23.25" x14ac:dyDescent="0.55000000000000004">
      <c r="A729" s="97">
        <v>2624640</v>
      </c>
      <c r="B729" s="24">
        <f>218720+218720+218720+218720+218720+218720+218720+218720</f>
        <v>1749760</v>
      </c>
      <c r="C729" s="29"/>
      <c r="D729" s="30" t="s">
        <v>46</v>
      </c>
      <c r="E729" s="22" t="s">
        <v>47</v>
      </c>
      <c r="F729" s="23">
        <v>218720</v>
      </c>
    </row>
    <row r="730" spans="1:6" s="92" customFormat="1" ht="23.25" x14ac:dyDescent="0.55000000000000004">
      <c r="A730" s="98">
        <f>4541000+35000+1527000</f>
        <v>6103000</v>
      </c>
      <c r="B730" s="24">
        <f>393371.37+452770+451790+658236.2-257191.2+515839+410025+403685+411105</f>
        <v>3439630.37</v>
      </c>
      <c r="C730" s="29"/>
      <c r="D730" s="30" t="s">
        <v>48</v>
      </c>
      <c r="E730" s="22" t="s">
        <v>47</v>
      </c>
      <c r="F730" s="24">
        <v>411105</v>
      </c>
    </row>
    <row r="731" spans="1:6" s="92" customFormat="1" ht="23.25" x14ac:dyDescent="0.55000000000000004">
      <c r="A731" s="23">
        <f>110000+10000+76000</f>
        <v>196000</v>
      </c>
      <c r="B731" s="24">
        <f>3500+22700+18020+6170+7700+3500+6500+21025</f>
        <v>89115</v>
      </c>
      <c r="C731" s="29"/>
      <c r="D731" s="30" t="s">
        <v>49</v>
      </c>
      <c r="E731" s="22" t="s">
        <v>47</v>
      </c>
      <c r="F731" s="23">
        <v>21025</v>
      </c>
    </row>
    <row r="732" spans="1:6" s="92" customFormat="1" ht="23.25" x14ac:dyDescent="0.55000000000000004">
      <c r="A732" s="23">
        <f>399000+210000+450000+100000+20000+80000+110000+880000+10000+100000</f>
        <v>2359000</v>
      </c>
      <c r="B732" s="24">
        <f>126305+47540+157877+175805.73+330000+86823+49666+11340+110521+23400+26280</f>
        <v>1145557.73</v>
      </c>
      <c r="C732" s="29"/>
      <c r="D732" s="30" t="s">
        <v>50</v>
      </c>
      <c r="E732" s="22" t="s">
        <v>51</v>
      </c>
      <c r="F732" s="23">
        <v>26280</v>
      </c>
    </row>
    <row r="733" spans="1:6" s="92" customFormat="1" ht="23.25" x14ac:dyDescent="0.55000000000000004">
      <c r="A733" s="23">
        <f>374000+55000+510000+20000+300000+10000+400000</f>
        <v>1669000</v>
      </c>
      <c r="B733" s="23">
        <f>8670+35781+199291.9+174658.67+39108+128317.8+93320</f>
        <v>679147.37</v>
      </c>
      <c r="C733" s="29"/>
      <c r="D733" s="30" t="s">
        <v>52</v>
      </c>
      <c r="E733" s="22" t="s">
        <v>53</v>
      </c>
      <c r="F733" s="23">
        <v>93320</v>
      </c>
    </row>
    <row r="734" spans="1:6" s="92" customFormat="1" ht="23.25" x14ac:dyDescent="0.55000000000000004">
      <c r="A734" s="23">
        <f>271000+1100000</f>
        <v>1371000</v>
      </c>
      <c r="B734" s="24">
        <f>115218.49+932+105203.83+119261.79+219683.14+120076.86+128423.2</f>
        <v>808799.30999999994</v>
      </c>
      <c r="C734" s="29"/>
      <c r="D734" s="30" t="s">
        <v>54</v>
      </c>
      <c r="E734" s="22" t="s">
        <v>55</v>
      </c>
      <c r="F734" s="24">
        <v>128423.2</v>
      </c>
    </row>
    <row r="735" spans="1:6" s="92" customFormat="1" ht="23.25" x14ac:dyDescent="0.55000000000000004">
      <c r="A735" s="23">
        <f>740000+105000+20000</f>
        <v>865000</v>
      </c>
      <c r="B735" s="24">
        <f>217000+167000+338000</f>
        <v>722000</v>
      </c>
      <c r="C735" s="29"/>
      <c r="D735" s="30" t="s">
        <v>25</v>
      </c>
      <c r="E735" s="22" t="s">
        <v>56</v>
      </c>
      <c r="F735" s="24">
        <v>338000</v>
      </c>
    </row>
    <row r="736" spans="1:6" s="92" customFormat="1" ht="23.25" x14ac:dyDescent="0.55000000000000004">
      <c r="A736" s="23">
        <f>208100+100000+9600+256000</f>
        <v>573700</v>
      </c>
      <c r="B736" s="24">
        <v>223683.23</v>
      </c>
      <c r="C736" s="29"/>
      <c r="D736" s="30" t="s">
        <v>57</v>
      </c>
      <c r="E736" s="22" t="s">
        <v>58</v>
      </c>
      <c r="F736" s="24"/>
    </row>
    <row r="737" spans="1:6" s="92" customFormat="1" ht="23.25" x14ac:dyDescent="0.55000000000000004">
      <c r="A737" s="24">
        <v>4682500</v>
      </c>
      <c r="B737" s="24">
        <v>1836000</v>
      </c>
      <c r="C737" s="29"/>
      <c r="D737" s="30" t="s">
        <v>59</v>
      </c>
      <c r="E737" s="22" t="s">
        <v>60</v>
      </c>
      <c r="F737" s="24"/>
    </row>
    <row r="738" spans="1:6" s="92" customFormat="1" ht="23.25" x14ac:dyDescent="0.55000000000000004">
      <c r="A738" s="23">
        <v>20000</v>
      </c>
      <c r="B738" s="23">
        <v>0</v>
      </c>
      <c r="C738" s="29"/>
      <c r="D738" s="30" t="s">
        <v>61</v>
      </c>
      <c r="E738" s="22" t="s">
        <v>62</v>
      </c>
      <c r="F738" s="23">
        <v>0</v>
      </c>
    </row>
    <row r="739" spans="1:6" s="92" customFormat="1" ht="23.25" x14ac:dyDescent="0.55000000000000004">
      <c r="A739" s="17"/>
      <c r="B739" s="17"/>
      <c r="C739" s="29"/>
      <c r="D739" s="31"/>
      <c r="E739" s="27"/>
      <c r="F739" s="17">
        <v>0</v>
      </c>
    </row>
    <row r="740" spans="1:6" s="92" customFormat="1" ht="24" thickBot="1" x14ac:dyDescent="0.6">
      <c r="A740" s="28">
        <f>SUM(A728:A739)</f>
        <v>22000000</v>
      </c>
      <c r="B740" s="28">
        <f>SUM(B728:B739)</f>
        <v>11601137.610000001</v>
      </c>
      <c r="C740" s="45"/>
      <c r="D740" s="46" t="s">
        <v>13</v>
      </c>
      <c r="E740" s="28" t="s">
        <v>13</v>
      </c>
      <c r="F740" s="28">
        <f>SUM(F728:F739)</f>
        <v>1260048.7999999998</v>
      </c>
    </row>
    <row r="741" spans="1:6" s="92" customFormat="1" ht="24" thickTop="1" x14ac:dyDescent="0.55000000000000004">
      <c r="A741" s="465"/>
      <c r="B741" s="47"/>
      <c r="C741" s="48"/>
      <c r="D741" s="49"/>
      <c r="E741" s="50"/>
      <c r="F741" s="50"/>
    </row>
    <row r="742" spans="1:6" s="92" customFormat="1" ht="23.25" x14ac:dyDescent="0.55000000000000004">
      <c r="A742" s="466"/>
      <c r="B742" s="24">
        <v>0</v>
      </c>
      <c r="C742" s="20"/>
      <c r="D742" s="30" t="s">
        <v>321</v>
      </c>
      <c r="E742" s="22"/>
      <c r="F742" s="23">
        <v>0</v>
      </c>
    </row>
    <row r="743" spans="1:6" s="92" customFormat="1" ht="23.25" x14ac:dyDescent="0.55000000000000004">
      <c r="A743" s="466"/>
      <c r="B743" s="24">
        <f>672000+334100+332300+331100+656900+325800</f>
        <v>2652200</v>
      </c>
      <c r="C743" s="20"/>
      <c r="D743" s="30" t="s">
        <v>63</v>
      </c>
      <c r="E743" s="22"/>
      <c r="F743" s="23">
        <v>325800</v>
      </c>
    </row>
    <row r="744" spans="1:6" s="92" customFormat="1" ht="23.25" x14ac:dyDescent="0.55000000000000004">
      <c r="A744" s="466"/>
      <c r="B744" s="24">
        <f>91200+45600+45600+44800+44800+44800+44800</f>
        <v>361600</v>
      </c>
      <c r="C744" s="20"/>
      <c r="D744" s="30" t="s">
        <v>64</v>
      </c>
      <c r="E744" s="22"/>
      <c r="F744" s="23">
        <v>44800</v>
      </c>
    </row>
    <row r="745" spans="1:6" s="92" customFormat="1" ht="23.25" x14ac:dyDescent="0.55000000000000004">
      <c r="A745" s="413"/>
      <c r="B745" s="24"/>
      <c r="C745" s="29"/>
      <c r="D745" s="30" t="s">
        <v>65</v>
      </c>
      <c r="E745" s="22"/>
      <c r="F745" s="24"/>
    </row>
    <row r="746" spans="1:6" s="92" customFormat="1" ht="23.25" x14ac:dyDescent="0.55000000000000004">
      <c r="A746" s="466"/>
      <c r="B746" s="45">
        <f>443000+458000+952000+395274+91239.18</f>
        <v>2339513.1800000002</v>
      </c>
      <c r="C746" s="45"/>
      <c r="D746" s="46" t="s">
        <v>33</v>
      </c>
      <c r="E746" s="23"/>
      <c r="F746" s="23">
        <v>91239.18</v>
      </c>
    </row>
    <row r="747" spans="1:6" s="92" customFormat="1" ht="23.25" x14ac:dyDescent="0.55000000000000004">
      <c r="A747" s="31"/>
      <c r="B747" s="51">
        <f>961000+760000+59000+441000</f>
        <v>2221000</v>
      </c>
      <c r="C747" s="29"/>
      <c r="D747" s="30" t="s">
        <v>67</v>
      </c>
      <c r="E747" s="22" t="s">
        <v>68</v>
      </c>
      <c r="F747" s="23"/>
    </row>
    <row r="748" spans="1:6" s="92" customFormat="1" ht="23.25" x14ac:dyDescent="0.55000000000000004">
      <c r="A748" s="31"/>
      <c r="B748" s="51">
        <f>330000+23400+11340</f>
        <v>364740</v>
      </c>
      <c r="C748" s="29"/>
      <c r="D748" s="31" t="s">
        <v>66</v>
      </c>
      <c r="E748" s="27" t="s">
        <v>32</v>
      </c>
      <c r="F748" s="17"/>
    </row>
    <row r="749" spans="1:6" s="92" customFormat="1" ht="23.25" x14ac:dyDescent="0.55000000000000004">
      <c r="A749" s="31"/>
      <c r="B749" s="51">
        <f>382100+381100+329700</f>
        <v>1092900</v>
      </c>
      <c r="C749" s="29"/>
      <c r="D749" s="30" t="s">
        <v>69</v>
      </c>
      <c r="E749" s="22" t="s">
        <v>36</v>
      </c>
      <c r="F749" s="24"/>
    </row>
    <row r="750" spans="1:6" s="92" customFormat="1" ht="23.25" x14ac:dyDescent="0.55000000000000004">
      <c r="A750" s="31"/>
      <c r="B750" s="51">
        <f>16513.35+21992.05+39555.32+5901.77+5419.83+22043.45+25449.27+10727.29</f>
        <v>147602.33000000002</v>
      </c>
      <c r="C750" s="29"/>
      <c r="D750" s="30" t="s">
        <v>70</v>
      </c>
      <c r="E750" s="22" t="s">
        <v>38</v>
      </c>
      <c r="F750" s="24">
        <v>10727.29</v>
      </c>
    </row>
    <row r="751" spans="1:6" s="92" customFormat="1" ht="23.25" x14ac:dyDescent="0.55000000000000004">
      <c r="A751" s="31"/>
      <c r="B751" s="23">
        <f>11295.5+10709+12864.5+12039+11467+11467+11150</f>
        <v>80992</v>
      </c>
      <c r="C751" s="19"/>
      <c r="D751" s="30" t="s">
        <v>493</v>
      </c>
      <c r="E751" s="53"/>
      <c r="F751" s="24">
        <v>11150</v>
      </c>
    </row>
    <row r="752" spans="1:6" s="92" customFormat="1" ht="23.25" x14ac:dyDescent="0.55000000000000004">
      <c r="A752" s="31"/>
      <c r="B752" s="24"/>
      <c r="C752" s="19"/>
      <c r="D752" s="52" t="s">
        <v>105</v>
      </c>
      <c r="E752" s="53"/>
      <c r="F752" s="24"/>
    </row>
    <row r="753" spans="1:6" s="92" customFormat="1" ht="23.25" x14ac:dyDescent="0.55000000000000004">
      <c r="A753" s="31"/>
      <c r="B753" s="24"/>
      <c r="C753" s="19"/>
      <c r="D753" s="30" t="s">
        <v>71</v>
      </c>
      <c r="E753" s="22"/>
      <c r="F753" s="24"/>
    </row>
    <row r="754" spans="1:6" s="92" customFormat="1" ht="23.25" x14ac:dyDescent="0.55000000000000004">
      <c r="A754" s="31"/>
      <c r="B754" s="24">
        <f>308000+395000</f>
        <v>703000</v>
      </c>
      <c r="C754" s="29"/>
      <c r="D754" s="30" t="s">
        <v>102</v>
      </c>
      <c r="E754" s="22"/>
      <c r="F754" s="24"/>
    </row>
    <row r="755" spans="1:6" s="92" customFormat="1" ht="23.25" x14ac:dyDescent="0.55000000000000004">
      <c r="A755" s="31"/>
      <c r="B755" s="98">
        <f>61820+115526.5+61440+61440+61440+61440</f>
        <v>423106.5</v>
      </c>
      <c r="C755" s="394"/>
      <c r="D755" s="30" t="s">
        <v>615</v>
      </c>
      <c r="E755" s="384"/>
      <c r="F755" s="98">
        <v>61440</v>
      </c>
    </row>
    <row r="756" spans="1:6" s="92" customFormat="1" ht="24" x14ac:dyDescent="0.55000000000000004">
      <c r="A756" s="31"/>
      <c r="B756" s="24">
        <f>5500+8600+129440+3315</f>
        <v>146855</v>
      </c>
      <c r="C756" s="29"/>
      <c r="D756" s="439" t="s">
        <v>529</v>
      </c>
      <c r="E756" s="22"/>
      <c r="F756" s="24"/>
    </row>
    <row r="757" spans="1:6" s="92" customFormat="1" ht="24" x14ac:dyDescent="0.55000000000000004">
      <c r="A757" s="31"/>
      <c r="B757" s="24">
        <v>179250</v>
      </c>
      <c r="C757" s="29"/>
      <c r="D757" s="439" t="s">
        <v>535</v>
      </c>
      <c r="E757" s="22"/>
      <c r="F757" s="24"/>
    </row>
    <row r="758" spans="1:6" s="92" customFormat="1" ht="24" x14ac:dyDescent="0.55000000000000004">
      <c r="A758" s="31"/>
      <c r="B758" s="24">
        <f>25131+410</f>
        <v>25541</v>
      </c>
      <c r="C758" s="29"/>
      <c r="D758" s="439" t="s">
        <v>528</v>
      </c>
      <c r="E758" s="22"/>
      <c r="F758" s="24"/>
    </row>
    <row r="759" spans="1:6" s="92" customFormat="1" ht="23.25" x14ac:dyDescent="0.55000000000000004">
      <c r="A759" s="31"/>
      <c r="B759" s="24">
        <f>1061725.64+1253700</f>
        <v>2315425.6399999997</v>
      </c>
      <c r="C759" s="29"/>
      <c r="D759" s="30" t="s">
        <v>621</v>
      </c>
      <c r="E759" s="22"/>
      <c r="F759" s="24">
        <v>1253700</v>
      </c>
    </row>
    <row r="760" spans="1:6" s="92" customFormat="1" ht="23.25" x14ac:dyDescent="0.55000000000000004">
      <c r="A760" s="31"/>
      <c r="B760" s="54">
        <f>1284600+2997400</f>
        <v>4282000</v>
      </c>
      <c r="C760" s="66"/>
      <c r="D760" s="552" t="s">
        <v>517</v>
      </c>
      <c r="E760" s="553"/>
      <c r="F760" s="55"/>
    </row>
    <row r="761" spans="1:6" s="92" customFormat="1" ht="23.25" x14ac:dyDescent="0.55000000000000004">
      <c r="A761" s="31"/>
      <c r="B761" s="37">
        <f>SUM(B742:B760)</f>
        <v>17335725.649999999</v>
      </c>
      <c r="C761" s="823" t="s">
        <v>72</v>
      </c>
      <c r="D761" s="823"/>
      <c r="E761" s="56"/>
      <c r="F761" s="37">
        <f>SUM(F742:F760)</f>
        <v>1798856.47</v>
      </c>
    </row>
    <row r="762" spans="1:6" s="92" customFormat="1" ht="23.25" x14ac:dyDescent="0.55000000000000004">
      <c r="A762" s="31"/>
      <c r="B762" s="57">
        <f>SUM(B761+B740)</f>
        <v>28936863.259999998</v>
      </c>
      <c r="C762" s="824" t="s">
        <v>73</v>
      </c>
      <c r="D762" s="823"/>
      <c r="E762" s="56"/>
      <c r="F762" s="37">
        <f>SUM(F761+F740)</f>
        <v>3058905.2699999996</v>
      </c>
    </row>
    <row r="763" spans="1:6" s="92" customFormat="1" ht="23.25" x14ac:dyDescent="0.55000000000000004">
      <c r="A763" s="31"/>
      <c r="B763" s="37"/>
      <c r="C763" s="824" t="s">
        <v>74</v>
      </c>
      <c r="D763" s="823"/>
      <c r="E763" s="56"/>
      <c r="F763" s="37" t="s">
        <v>13</v>
      </c>
    </row>
    <row r="764" spans="1:6" s="92" customFormat="1" ht="23.25" x14ac:dyDescent="0.55000000000000004">
      <c r="A764" s="31"/>
      <c r="B764" s="58">
        <f>SUM(B720-B762)</f>
        <v>-724658.91999999806</v>
      </c>
      <c r="C764" s="824" t="s">
        <v>75</v>
      </c>
      <c r="D764" s="823"/>
      <c r="E764" s="56"/>
      <c r="F764" s="59">
        <f>SUM(F720-F762)</f>
        <v>-147816.97999999952</v>
      </c>
    </row>
    <row r="765" spans="1:6" s="92" customFormat="1" ht="23.25" x14ac:dyDescent="0.55000000000000004">
      <c r="A765" s="31"/>
      <c r="B765" s="60">
        <f>SUM(B764+B684)</f>
        <v>12942320.390000002</v>
      </c>
      <c r="C765" s="824"/>
      <c r="D765" s="823"/>
      <c r="E765" s="56"/>
      <c r="F765" s="37">
        <f>SUM(F764+F684)</f>
        <v>12942320.390000001</v>
      </c>
    </row>
    <row r="766" spans="1:6" s="92" customFormat="1" ht="5.25" customHeight="1" x14ac:dyDescent="0.5">
      <c r="A766" s="61"/>
      <c r="B766" s="61"/>
      <c r="C766" s="557"/>
      <c r="D766" s="557"/>
      <c r="E766" s="62"/>
      <c r="F766" s="63"/>
    </row>
    <row r="767" spans="1:6" s="826" customFormat="1" ht="18.75" x14ac:dyDescent="0.45">
      <c r="A767" s="825" t="s">
        <v>547</v>
      </c>
    </row>
    <row r="768" spans="1:6" s="99" customFormat="1" ht="18.75" x14ac:dyDescent="0.45">
      <c r="A768" s="556" t="s">
        <v>546</v>
      </c>
      <c r="B768" s="556"/>
      <c r="C768" s="556"/>
      <c r="D768" s="556"/>
      <c r="E768" s="556"/>
      <c r="F768" s="556"/>
    </row>
    <row r="769" spans="1:6" s="99" customFormat="1" ht="18.75" x14ac:dyDescent="0.45">
      <c r="A769" s="556" t="s">
        <v>519</v>
      </c>
      <c r="B769" s="556"/>
      <c r="C769" s="556"/>
      <c r="D769" s="556"/>
      <c r="E769" s="556"/>
      <c r="F769" s="556"/>
    </row>
    <row r="770" spans="1:6" s="92" customFormat="1" ht="18.75" x14ac:dyDescent="0.45">
      <c r="A770" s="556"/>
      <c r="B770" s="556"/>
      <c r="C770" s="556"/>
      <c r="D770" s="556" t="s">
        <v>545</v>
      </c>
      <c r="E770" s="556"/>
      <c r="F770" s="556"/>
    </row>
    <row r="771" spans="1:6" s="92" customFormat="1" ht="18.75" x14ac:dyDescent="0.45">
      <c r="A771" s="606"/>
      <c r="B771" s="606"/>
      <c r="C771" s="606"/>
      <c r="D771" s="606"/>
      <c r="E771" s="606"/>
      <c r="F771" s="606"/>
    </row>
    <row r="772" spans="1:6" s="92" customFormat="1" ht="18.75" x14ac:dyDescent="0.45">
      <c r="A772" s="606"/>
      <c r="B772" s="606"/>
      <c r="C772" s="606"/>
      <c r="D772" s="606"/>
      <c r="E772" s="606"/>
      <c r="F772" s="606"/>
    </row>
    <row r="773" spans="1:6" s="92" customFormat="1" ht="18.75" x14ac:dyDescent="0.45">
      <c r="A773" s="606"/>
      <c r="B773" s="606"/>
      <c r="C773" s="606"/>
      <c r="D773" s="606"/>
      <c r="E773" s="606"/>
      <c r="F773" s="606"/>
    </row>
    <row r="774" spans="1:6" s="92" customFormat="1" ht="24" x14ac:dyDescent="0.55000000000000004">
      <c r="A774" s="827" t="s">
        <v>0</v>
      </c>
      <c r="B774" s="827"/>
      <c r="C774" s="827"/>
      <c r="D774" s="827"/>
      <c r="E774" s="827"/>
      <c r="F774" s="827"/>
    </row>
    <row r="775" spans="1:6" s="92" customFormat="1" ht="24" x14ac:dyDescent="0.55000000000000004">
      <c r="A775" s="827" t="s">
        <v>1</v>
      </c>
      <c r="B775" s="827"/>
      <c r="C775" s="827"/>
      <c r="D775" s="827"/>
      <c r="E775" s="827"/>
      <c r="F775" s="827"/>
    </row>
    <row r="776" spans="1:6" s="92" customFormat="1" ht="24" x14ac:dyDescent="0.55000000000000004">
      <c r="A776" s="559"/>
      <c r="B776" s="559"/>
      <c r="C776" s="559"/>
      <c r="D776" s="559"/>
      <c r="E776" s="1" t="s">
        <v>544</v>
      </c>
      <c r="F776" s="2"/>
    </row>
    <row r="777" spans="1:6" s="92" customFormat="1" ht="30.75" x14ac:dyDescent="0.7">
      <c r="A777" s="828" t="s">
        <v>2</v>
      </c>
      <c r="B777" s="828"/>
      <c r="C777" s="828"/>
      <c r="D777" s="828"/>
      <c r="E777" s="828"/>
      <c r="F777" s="828"/>
    </row>
    <row r="778" spans="1:6" s="92" customFormat="1" ht="24.75" thickBot="1" x14ac:dyDescent="0.6">
      <c r="A778" s="3" t="s">
        <v>3</v>
      </c>
      <c r="B778" s="3"/>
      <c r="C778" s="3"/>
      <c r="D778" s="4" t="s">
        <v>629</v>
      </c>
      <c r="E778" s="1"/>
      <c r="F778" s="3"/>
    </row>
    <row r="779" spans="1:6" s="92" customFormat="1" ht="22.5" thickTop="1" x14ac:dyDescent="0.5">
      <c r="A779" s="829" t="s">
        <v>4</v>
      </c>
      <c r="B779" s="830"/>
      <c r="C779" s="831"/>
      <c r="D779" s="832"/>
      <c r="E779" s="5"/>
      <c r="F779" s="6" t="s">
        <v>5</v>
      </c>
    </row>
    <row r="780" spans="1:6" s="92" customFormat="1" ht="21.75" x14ac:dyDescent="0.5">
      <c r="A780" s="7" t="s">
        <v>6</v>
      </c>
      <c r="B780" s="7" t="s">
        <v>7</v>
      </c>
      <c r="E780" s="8" t="s">
        <v>8</v>
      </c>
      <c r="F780" s="9" t="s">
        <v>7</v>
      </c>
    </row>
    <row r="781" spans="1:6" s="92" customFormat="1" ht="22.5" thickBot="1" x14ac:dyDescent="0.55000000000000004">
      <c r="A781" s="10" t="s">
        <v>9</v>
      </c>
      <c r="B781" s="562" t="s">
        <v>9</v>
      </c>
      <c r="C781" s="819" t="s">
        <v>10</v>
      </c>
      <c r="D781" s="820"/>
      <c r="E781" s="11" t="s">
        <v>11</v>
      </c>
      <c r="F781" s="10" t="s">
        <v>9</v>
      </c>
    </row>
    <row r="782" spans="1:6" s="92" customFormat="1" ht="24" thickTop="1" x14ac:dyDescent="0.55000000000000004">
      <c r="A782" s="12"/>
      <c r="B782" s="13">
        <v>13666979.310000001</v>
      </c>
      <c r="C782" s="14" t="s">
        <v>12</v>
      </c>
      <c r="D782" s="15"/>
      <c r="E782" s="16"/>
      <c r="F782" s="17">
        <f>+F765</f>
        <v>12942320.390000001</v>
      </c>
    </row>
    <row r="783" spans="1:6" s="92" customFormat="1" ht="23.25" x14ac:dyDescent="0.55000000000000004">
      <c r="A783" s="18"/>
      <c r="B783" s="19" t="s">
        <v>13</v>
      </c>
      <c r="C783" s="20" t="s">
        <v>14</v>
      </c>
      <c r="D783" s="21"/>
      <c r="E783" s="22"/>
      <c r="F783" s="23"/>
    </row>
    <row r="784" spans="1:6" s="92" customFormat="1" ht="23.25" x14ac:dyDescent="0.55000000000000004">
      <c r="A784" s="23">
        <v>4070000</v>
      </c>
      <c r="B784" s="23">
        <f>24851.32+653.6+2296.15+837656.77+4155543.48+76917.34+7349.6+682.1</f>
        <v>5105950.3599999994</v>
      </c>
      <c r="C784" s="93"/>
      <c r="D784" s="19" t="s">
        <v>15</v>
      </c>
      <c r="E784" s="22" t="s">
        <v>16</v>
      </c>
      <c r="F784" s="23">
        <v>682.1</v>
      </c>
    </row>
    <row r="785" spans="1:6" s="92" customFormat="1" ht="23.25" x14ac:dyDescent="0.55000000000000004">
      <c r="A785" s="23">
        <v>83000</v>
      </c>
      <c r="B785" s="24">
        <f>562+814+684+3058+50+765+793.6+260.4+155.2+252.2+213.4+213.4+3364.8+84320</f>
        <v>95506</v>
      </c>
      <c r="C785" s="93"/>
      <c r="D785" s="19" t="s">
        <v>17</v>
      </c>
      <c r="E785" s="22" t="s">
        <v>18</v>
      </c>
      <c r="F785" s="24">
        <v>3364.8</v>
      </c>
    </row>
    <row r="786" spans="1:6" s="92" customFormat="1" ht="23.25" x14ac:dyDescent="0.55000000000000004">
      <c r="A786" s="23">
        <v>110000</v>
      </c>
      <c r="B786" s="24">
        <f>33122.75+16284.37</f>
        <v>49407.12</v>
      </c>
      <c r="C786" s="93"/>
      <c r="D786" s="19" t="s">
        <v>19</v>
      </c>
      <c r="E786" s="22" t="s">
        <v>20</v>
      </c>
      <c r="F786" s="24"/>
    </row>
    <row r="787" spans="1:6" s="92" customFormat="1" ht="23.25" x14ac:dyDescent="0.55000000000000004">
      <c r="A787" s="23">
        <v>1005000</v>
      </c>
      <c r="B787" s="24">
        <f>41413+41107+47949+77291+68760+118469+66193+43970+118203</f>
        <v>623355</v>
      </c>
      <c r="C787" s="93"/>
      <c r="D787" s="19" t="s">
        <v>21</v>
      </c>
      <c r="E787" s="22" t="s">
        <v>22</v>
      </c>
      <c r="F787" s="24">
        <v>118203</v>
      </c>
    </row>
    <row r="788" spans="1:6" s="92" customFormat="1" ht="23.25" x14ac:dyDescent="0.55000000000000004">
      <c r="A788" s="23">
        <v>90000</v>
      </c>
      <c r="B788" s="23">
        <f>3500+7200+378217.34+4500</f>
        <v>393417.34</v>
      </c>
      <c r="C788" s="93"/>
      <c r="D788" s="19" t="s">
        <v>23</v>
      </c>
      <c r="E788" s="22" t="s">
        <v>24</v>
      </c>
      <c r="F788" s="24"/>
    </row>
    <row r="789" spans="1:6" s="92" customFormat="1" ht="23.25" x14ac:dyDescent="0.55000000000000004">
      <c r="A789" s="24">
        <v>2000</v>
      </c>
      <c r="B789" s="23">
        <v>3665</v>
      </c>
      <c r="C789" s="93"/>
      <c r="D789" s="19" t="s">
        <v>106</v>
      </c>
      <c r="E789" s="22" t="s">
        <v>26</v>
      </c>
      <c r="F789" s="23"/>
    </row>
    <row r="790" spans="1:6" s="92" customFormat="1" ht="23.25" x14ac:dyDescent="0.55000000000000004">
      <c r="A790" s="23">
        <v>11890000</v>
      </c>
      <c r="B790" s="23">
        <f>956708.22+877096.73+606176.86+458872.06+1019505.61+1018763.38+662121.78+1199829.46-155.2-252.2-213.4-213.4+943718.81</f>
        <v>7741958.709999999</v>
      </c>
      <c r="C790" s="19"/>
      <c r="D790" s="19" t="s">
        <v>107</v>
      </c>
      <c r="E790" s="22"/>
      <c r="F790" s="23">
        <v>943718.81</v>
      </c>
    </row>
    <row r="791" spans="1:6" s="92" customFormat="1" ht="23.25" x14ac:dyDescent="0.55000000000000004">
      <c r="A791" s="55">
        <v>4750000</v>
      </c>
      <c r="B791" s="17">
        <f>1357655+1386596+466460</f>
        <v>3210711</v>
      </c>
      <c r="C791" s="94"/>
      <c r="D791" s="26" t="s">
        <v>108</v>
      </c>
      <c r="E791" s="27"/>
      <c r="F791" s="17"/>
    </row>
    <row r="792" spans="1:6" s="92" customFormat="1" ht="24" thickBot="1" x14ac:dyDescent="0.6">
      <c r="A792" s="28">
        <f>SUM(A784:A791)</f>
        <v>22000000</v>
      </c>
      <c r="B792" s="28">
        <f>SUM(B784:B791)</f>
        <v>17223970.529999997</v>
      </c>
      <c r="C792" s="29"/>
      <c r="D792" s="30"/>
      <c r="E792" s="22"/>
      <c r="F792" s="28">
        <f>SUM(F784:F791)</f>
        <v>1065968.71</v>
      </c>
    </row>
    <row r="793" spans="1:6" s="92" customFormat="1" ht="24" thickTop="1" x14ac:dyDescent="0.55000000000000004">
      <c r="A793" s="13"/>
      <c r="B793" s="23">
        <v>0</v>
      </c>
      <c r="C793" s="65"/>
      <c r="D793" s="19" t="s">
        <v>27</v>
      </c>
      <c r="E793" s="22"/>
      <c r="F793" s="23">
        <v>0</v>
      </c>
    </row>
    <row r="794" spans="1:6" s="92" customFormat="1" ht="23.25" x14ac:dyDescent="0.55000000000000004">
      <c r="A794" s="13"/>
      <c r="B794" s="23">
        <v>0</v>
      </c>
      <c r="C794" s="29"/>
      <c r="D794" s="19" t="s">
        <v>28</v>
      </c>
      <c r="E794" s="22"/>
      <c r="F794" s="23">
        <v>0</v>
      </c>
    </row>
    <row r="795" spans="1:6" s="92" customFormat="1" ht="23.25" x14ac:dyDescent="0.55000000000000004">
      <c r="A795" s="13"/>
      <c r="B795" s="23">
        <f>187.15+394.25+228.95+6516.05+95.95+123.5+18.05+791.35</f>
        <v>8355.25</v>
      </c>
      <c r="C795" s="66"/>
      <c r="D795" s="19" t="s">
        <v>29</v>
      </c>
      <c r="E795" s="22"/>
      <c r="F795" s="23">
        <v>18.05</v>
      </c>
    </row>
    <row r="796" spans="1:6" s="92" customFormat="1" ht="23.25" x14ac:dyDescent="0.55000000000000004">
      <c r="A796" s="13"/>
      <c r="B796" s="23">
        <v>0</v>
      </c>
      <c r="C796" s="66"/>
      <c r="D796" s="19" t="s">
        <v>30</v>
      </c>
      <c r="E796" s="22"/>
      <c r="F796" s="23"/>
    </row>
    <row r="797" spans="1:6" s="92" customFormat="1" ht="23.25" x14ac:dyDescent="0.55000000000000004">
      <c r="A797" s="26"/>
      <c r="B797" s="23">
        <v>0</v>
      </c>
      <c r="C797" s="95"/>
      <c r="D797" s="19" t="s">
        <v>31</v>
      </c>
      <c r="E797" s="22" t="s">
        <v>32</v>
      </c>
      <c r="F797" s="23"/>
    </row>
    <row r="798" spans="1:6" s="92" customFormat="1" ht="23.25" x14ac:dyDescent="0.55000000000000004">
      <c r="A798" s="31"/>
      <c r="B798" s="23">
        <v>0</v>
      </c>
      <c r="C798" s="96"/>
      <c r="D798" s="19" t="s">
        <v>33</v>
      </c>
      <c r="E798" s="22" t="s">
        <v>34</v>
      </c>
      <c r="F798" s="23"/>
    </row>
    <row r="799" spans="1:6" s="92" customFormat="1" ht="23.25" x14ac:dyDescent="0.55000000000000004">
      <c r="A799" s="31"/>
      <c r="B799" s="23">
        <v>763200</v>
      </c>
      <c r="C799" s="96"/>
      <c r="D799" s="26" t="s">
        <v>35</v>
      </c>
      <c r="E799" s="22" t="s">
        <v>36</v>
      </c>
      <c r="F799" s="23"/>
    </row>
    <row r="800" spans="1:6" s="92" customFormat="1" ht="23.25" x14ac:dyDescent="0.55000000000000004">
      <c r="A800" s="31"/>
      <c r="B800" s="51">
        <f>463927.91+21870.78-45050</f>
        <v>440748.68999999994</v>
      </c>
      <c r="C800" s="96"/>
      <c r="D800" s="19" t="s">
        <v>37</v>
      </c>
      <c r="E800" s="27" t="s">
        <v>38</v>
      </c>
      <c r="F800" s="23">
        <f>36.85+11926.93+9907</f>
        <v>21870.78</v>
      </c>
    </row>
    <row r="801" spans="1:6" s="92" customFormat="1" ht="23.25" x14ac:dyDescent="0.55000000000000004">
      <c r="A801" s="31"/>
      <c r="B801" s="23"/>
      <c r="C801" s="96"/>
      <c r="D801" s="19" t="s">
        <v>538</v>
      </c>
      <c r="E801" s="22" t="s">
        <v>39</v>
      </c>
      <c r="F801" s="23"/>
    </row>
    <row r="802" spans="1:6" s="92" customFormat="1" ht="23.25" x14ac:dyDescent="0.55000000000000004">
      <c r="A802" s="31"/>
      <c r="B802" s="23">
        <f>21800+186690+142415+251350</f>
        <v>602255</v>
      </c>
      <c r="C802" s="96"/>
      <c r="D802" s="33" t="s">
        <v>539</v>
      </c>
      <c r="E802" s="32"/>
      <c r="F802" s="23"/>
    </row>
    <row r="803" spans="1:6" s="92" customFormat="1" ht="23.25" x14ac:dyDescent="0.55000000000000004">
      <c r="A803" s="31"/>
      <c r="B803" s="23">
        <f>1090+3420+2280+4560</f>
        <v>11350</v>
      </c>
      <c r="C803" s="96"/>
      <c r="D803" s="33" t="s">
        <v>627</v>
      </c>
      <c r="E803" s="32"/>
      <c r="F803" s="23"/>
    </row>
    <row r="804" spans="1:6" s="92" customFormat="1" ht="23.25" x14ac:dyDescent="0.55000000000000004">
      <c r="A804" s="31"/>
      <c r="B804" s="23"/>
      <c r="C804" s="96"/>
      <c r="D804" s="33" t="s">
        <v>40</v>
      </c>
      <c r="E804" s="34"/>
      <c r="F804" s="23"/>
    </row>
    <row r="805" spans="1:6" s="92" customFormat="1" ht="23.25" x14ac:dyDescent="0.55000000000000004">
      <c r="A805" s="31"/>
      <c r="B805" s="23">
        <f>1284600+2997400</f>
        <v>4282000</v>
      </c>
      <c r="C805" s="93"/>
      <c r="D805" s="33" t="s">
        <v>628</v>
      </c>
      <c r="E805" s="22"/>
      <c r="F805" s="23"/>
    </row>
    <row r="806" spans="1:6" s="92" customFormat="1" ht="23.25" x14ac:dyDescent="0.55000000000000004">
      <c r="A806" s="31"/>
      <c r="B806" s="23">
        <f>6383.34+169</f>
        <v>6552.34</v>
      </c>
      <c r="C806" s="96"/>
      <c r="D806" s="438" t="s">
        <v>42</v>
      </c>
      <c r="E806" s="22"/>
      <c r="F806" s="23"/>
    </row>
    <row r="807" spans="1:6" s="92" customFormat="1" ht="23.25" x14ac:dyDescent="0.55000000000000004">
      <c r="A807" s="31"/>
      <c r="B807" s="23">
        <v>50400</v>
      </c>
      <c r="C807" s="96"/>
      <c r="D807" s="438" t="s">
        <v>524</v>
      </c>
      <c r="E807" s="22"/>
      <c r="F807" s="23"/>
    </row>
    <row r="808" spans="1:6" s="92" customFormat="1" ht="23.25" x14ac:dyDescent="0.55000000000000004">
      <c r="A808" s="31"/>
      <c r="B808" s="23">
        <f>1011900+674600+657800+331700+1206300</f>
        <v>3882300</v>
      </c>
      <c r="C808" s="96"/>
      <c r="D808" s="438" t="s">
        <v>525</v>
      </c>
      <c r="E808" s="22"/>
      <c r="F808" s="23">
        <v>1206300</v>
      </c>
    </row>
    <row r="809" spans="1:6" s="92" customFormat="1" ht="23.25" x14ac:dyDescent="0.55000000000000004">
      <c r="A809" s="31"/>
      <c r="B809" s="23">
        <f>136800+136800+45600+45600+164800</f>
        <v>529600</v>
      </c>
      <c r="C809" s="96"/>
      <c r="D809" s="438" t="s">
        <v>526</v>
      </c>
      <c r="E809" s="22"/>
      <c r="F809" s="23">
        <v>164800</v>
      </c>
    </row>
    <row r="810" spans="1:6" s="92" customFormat="1" ht="23.25" x14ac:dyDescent="0.55000000000000004">
      <c r="A810" s="31"/>
      <c r="B810" s="23">
        <f>430+24701+410</f>
        <v>25541</v>
      </c>
      <c r="C810" s="96"/>
      <c r="D810" s="438" t="s">
        <v>528</v>
      </c>
      <c r="E810" s="22"/>
      <c r="F810" s="23"/>
    </row>
    <row r="811" spans="1:6" s="92" customFormat="1" ht="23.25" x14ac:dyDescent="0.55000000000000004">
      <c r="A811" s="31"/>
      <c r="B811" s="23">
        <f>393350+38750+41378+92715+45050+8600</f>
        <v>619843</v>
      </c>
      <c r="C811" s="96"/>
      <c r="D811" s="438" t="s">
        <v>532</v>
      </c>
      <c r="E811" s="22"/>
      <c r="F811" s="23">
        <v>92715</v>
      </c>
    </row>
    <row r="812" spans="1:6" s="92" customFormat="1" ht="23.25" x14ac:dyDescent="0.55000000000000004">
      <c r="A812" s="31"/>
      <c r="B812" s="23">
        <v>82.43</v>
      </c>
      <c r="C812" s="437"/>
      <c r="D812" s="438" t="s">
        <v>533</v>
      </c>
      <c r="E812" s="22"/>
      <c r="F812" s="23"/>
    </row>
    <row r="813" spans="1:6" s="92" customFormat="1" ht="23.25" x14ac:dyDescent="0.55000000000000004">
      <c r="A813" s="31"/>
      <c r="B813" s="23">
        <v>2250</v>
      </c>
      <c r="C813" s="93"/>
      <c r="D813" s="19" t="s">
        <v>534</v>
      </c>
      <c r="E813" s="22"/>
      <c r="F813" s="23"/>
    </row>
    <row r="814" spans="1:6" s="92" customFormat="1" ht="23.25" x14ac:dyDescent="0.55000000000000004">
      <c r="A814" s="31"/>
      <c r="B814" s="23"/>
      <c r="C814" s="93"/>
      <c r="D814" s="19" t="s">
        <v>543</v>
      </c>
      <c r="E814" s="22"/>
      <c r="F814" s="23"/>
    </row>
    <row r="815" spans="1:6" s="92" customFormat="1" ht="23.25" x14ac:dyDescent="0.55000000000000004">
      <c r="A815" s="31"/>
      <c r="B815" s="23">
        <v>3</v>
      </c>
      <c r="C815" s="383"/>
      <c r="D815" s="19" t="s">
        <v>619</v>
      </c>
      <c r="E815" s="384"/>
      <c r="F815" s="23"/>
    </row>
    <row r="816" spans="1:6" s="92" customFormat="1" ht="23.25" x14ac:dyDescent="0.55000000000000004">
      <c r="A816" s="31"/>
      <c r="B816" s="23">
        <v>1061725.6399999999</v>
      </c>
      <c r="C816" s="383"/>
      <c r="D816" s="30" t="s">
        <v>643</v>
      </c>
      <c r="E816" s="384"/>
      <c r="F816" s="23">
        <v>1061725.6399999999</v>
      </c>
    </row>
    <row r="817" spans="1:6" s="92" customFormat="1" ht="23.25" x14ac:dyDescent="0.55000000000000004">
      <c r="A817" s="31"/>
      <c r="B817" s="23">
        <f>1061725.64+1253700</f>
        <v>2315425.6399999997</v>
      </c>
      <c r="C817" s="96"/>
      <c r="D817" s="30" t="s">
        <v>620</v>
      </c>
      <c r="E817" s="22"/>
      <c r="F817" s="23"/>
    </row>
    <row r="818" spans="1:6" s="92" customFormat="1" ht="23.25" x14ac:dyDescent="0.55000000000000004">
      <c r="A818" s="31"/>
      <c r="B818" s="35">
        <f>SUM(B793:B817)</f>
        <v>14601631.989999998</v>
      </c>
      <c r="C818" s="824" t="s">
        <v>43</v>
      </c>
      <c r="D818" s="823"/>
      <c r="E818" s="56"/>
      <c r="F818" s="25">
        <f>SUM(F793:F817)</f>
        <v>2547429.4699999997</v>
      </c>
    </row>
    <row r="819" spans="1:6" s="92" customFormat="1" ht="23.25" x14ac:dyDescent="0.55000000000000004">
      <c r="A819" s="31"/>
      <c r="B819" s="36">
        <f>SUM(B818+B792)</f>
        <v>31825602.519999996</v>
      </c>
      <c r="C819" s="560"/>
      <c r="D819" s="560"/>
      <c r="E819" s="56"/>
      <c r="F819" s="37">
        <f>SUM(F818+F792)</f>
        <v>3613398.1799999997</v>
      </c>
    </row>
    <row r="820" spans="1:6" s="92" customFormat="1" ht="23.25" x14ac:dyDescent="0.55000000000000004">
      <c r="A820" s="26"/>
      <c r="B820" s="35"/>
      <c r="C820" s="570"/>
      <c r="D820" s="570"/>
      <c r="E820" s="56"/>
      <c r="F820" s="25"/>
    </row>
    <row r="821" spans="1:6" s="92" customFormat="1" ht="24" thickBot="1" x14ac:dyDescent="0.6">
      <c r="A821" s="26"/>
      <c r="B821" s="35"/>
      <c r="C821" s="604"/>
      <c r="D821" s="604"/>
      <c r="E821" s="56"/>
      <c r="F821" s="25"/>
    </row>
    <row r="822" spans="1:6" s="92" customFormat="1" ht="22.5" thickTop="1" x14ac:dyDescent="0.5">
      <c r="A822" s="829" t="s">
        <v>4</v>
      </c>
      <c r="B822" s="830"/>
      <c r="C822" s="831"/>
      <c r="D822" s="832"/>
      <c r="E822" s="5"/>
      <c r="F822" s="6" t="s">
        <v>5</v>
      </c>
    </row>
    <row r="823" spans="1:6" s="92" customFormat="1" ht="21.75" x14ac:dyDescent="0.5">
      <c r="A823" s="7" t="s">
        <v>6</v>
      </c>
      <c r="B823" s="563" t="s">
        <v>7</v>
      </c>
      <c r="C823" s="819" t="s">
        <v>10</v>
      </c>
      <c r="D823" s="820"/>
      <c r="E823" s="8" t="s">
        <v>8</v>
      </c>
      <c r="F823" s="9" t="s">
        <v>7</v>
      </c>
    </row>
    <row r="824" spans="1:6" s="92" customFormat="1" ht="22.5" thickBot="1" x14ac:dyDescent="0.55000000000000004">
      <c r="A824" s="10" t="s">
        <v>9</v>
      </c>
      <c r="B824" s="562" t="s">
        <v>9</v>
      </c>
      <c r="C824" s="821"/>
      <c r="D824" s="822"/>
      <c r="E824" s="11" t="s">
        <v>11</v>
      </c>
      <c r="F824" s="10" t="s">
        <v>9</v>
      </c>
    </row>
    <row r="825" spans="1:6" s="92" customFormat="1" ht="24" thickTop="1" x14ac:dyDescent="0.55000000000000004">
      <c r="A825" s="43"/>
      <c r="B825" s="13"/>
      <c r="C825" s="44" t="s">
        <v>44</v>
      </c>
      <c r="D825" s="15"/>
      <c r="E825" s="16"/>
      <c r="F825" s="17"/>
    </row>
    <row r="826" spans="1:6" s="92" customFormat="1" ht="23.25" x14ac:dyDescent="0.55000000000000004">
      <c r="A826" s="23">
        <v>1536160</v>
      </c>
      <c r="B826" s="24">
        <f>2500+13795.5+24813+15364.5+257191.2+523619.6+23492.6+23492.6+23175.6+23166.6</f>
        <v>930611.19999999995</v>
      </c>
      <c r="C826" s="20"/>
      <c r="D826" s="30" t="s">
        <v>41</v>
      </c>
      <c r="E826" s="22" t="s">
        <v>45</v>
      </c>
      <c r="F826" s="23">
        <v>23166.6</v>
      </c>
    </row>
    <row r="827" spans="1:6" s="92" customFormat="1" ht="23.25" x14ac:dyDescent="0.55000000000000004">
      <c r="A827" s="97">
        <v>2624640</v>
      </c>
      <c r="B827" s="24">
        <f>218720+218720+218720+218720+218720+218720+218720+218720+218720</f>
        <v>1968480</v>
      </c>
      <c r="C827" s="29"/>
      <c r="D827" s="30" t="s">
        <v>46</v>
      </c>
      <c r="E827" s="22" t="s">
        <v>47</v>
      </c>
      <c r="F827" s="23">
        <v>218720</v>
      </c>
    </row>
    <row r="828" spans="1:6" s="92" customFormat="1" ht="23.25" x14ac:dyDescent="0.55000000000000004">
      <c r="A828" s="98">
        <f>4541000+35000+1527000</f>
        <v>6103000</v>
      </c>
      <c r="B828" s="24">
        <f>393371.37+452770+451790+658236.2-257191.2+515839+410025+403685+411105+423000</f>
        <v>3862630.37</v>
      </c>
      <c r="C828" s="29"/>
      <c r="D828" s="30" t="s">
        <v>48</v>
      </c>
      <c r="E828" s="22" t="s">
        <v>47</v>
      </c>
      <c r="F828" s="24">
        <v>423000</v>
      </c>
    </row>
    <row r="829" spans="1:6" s="92" customFormat="1" ht="23.25" x14ac:dyDescent="0.55000000000000004">
      <c r="A829" s="23">
        <f>110000+10000+76000</f>
        <v>196000</v>
      </c>
      <c r="B829" s="24">
        <f>3500+22700+18020+6170+7700+3500+6500+21025+7000</f>
        <v>96115</v>
      </c>
      <c r="C829" s="29"/>
      <c r="D829" s="30" t="s">
        <v>49</v>
      </c>
      <c r="E829" s="22" t="s">
        <v>47</v>
      </c>
      <c r="F829" s="23">
        <v>7000</v>
      </c>
    </row>
    <row r="830" spans="1:6" s="92" customFormat="1" ht="23.25" x14ac:dyDescent="0.55000000000000004">
      <c r="A830" s="23">
        <f>399000+210000+450000+100000+20000+80000+110000+880000+10000+100000</f>
        <v>2359000</v>
      </c>
      <c r="B830" s="24">
        <f>126305+47540+157877+175805.73+330000+86823+49666+11340+110521+23400+26280+83713</f>
        <v>1229270.73</v>
      </c>
      <c r="C830" s="29"/>
      <c r="D830" s="30" t="s">
        <v>50</v>
      </c>
      <c r="E830" s="22" t="s">
        <v>51</v>
      </c>
      <c r="F830" s="23">
        <v>83713</v>
      </c>
    </row>
    <row r="831" spans="1:6" s="92" customFormat="1" ht="23.25" x14ac:dyDescent="0.55000000000000004">
      <c r="A831" s="23">
        <f>374000+55000+510000+20000+300000+10000+400000</f>
        <v>1669000</v>
      </c>
      <c r="B831" s="23">
        <f>8670+35781+199291.9+174658.67+39108+128317.8+93320+109272.52</f>
        <v>788419.89</v>
      </c>
      <c r="C831" s="29"/>
      <c r="D831" s="30" t="s">
        <v>52</v>
      </c>
      <c r="E831" s="22" t="s">
        <v>53</v>
      </c>
      <c r="F831" s="23">
        <v>109272.52</v>
      </c>
    </row>
    <row r="832" spans="1:6" s="92" customFormat="1" ht="23.25" x14ac:dyDescent="0.55000000000000004">
      <c r="A832" s="23">
        <f>271000+1100000</f>
        <v>1371000</v>
      </c>
      <c r="B832" s="24">
        <f>115218.49+932+105203.83+119261.79+219683.14+120076.86+128423.2+123462.01</f>
        <v>932261.32</v>
      </c>
      <c r="C832" s="29"/>
      <c r="D832" s="30" t="s">
        <v>54</v>
      </c>
      <c r="E832" s="22" t="s">
        <v>55</v>
      </c>
      <c r="F832" s="24">
        <v>123462.01</v>
      </c>
    </row>
    <row r="833" spans="1:6" s="92" customFormat="1" ht="23.25" x14ac:dyDescent="0.55000000000000004">
      <c r="A833" s="23">
        <f>740000+105000+20000</f>
        <v>865000</v>
      </c>
      <c r="B833" s="24">
        <f>217000+167000+338000</f>
        <v>722000</v>
      </c>
      <c r="C833" s="29"/>
      <c r="D833" s="30" t="s">
        <v>25</v>
      </c>
      <c r="E833" s="22" t="s">
        <v>56</v>
      </c>
      <c r="F833" s="24">
        <v>0</v>
      </c>
    </row>
    <row r="834" spans="1:6" s="92" customFormat="1" ht="23.25" x14ac:dyDescent="0.55000000000000004">
      <c r="A834" s="23">
        <f>208100+100000+9600+256000</f>
        <v>573700</v>
      </c>
      <c r="B834" s="24">
        <f>223683.23+51500</f>
        <v>275183.23</v>
      </c>
      <c r="C834" s="29"/>
      <c r="D834" s="30" t="s">
        <v>57</v>
      </c>
      <c r="E834" s="22" t="s">
        <v>58</v>
      </c>
      <c r="F834" s="24">
        <v>51500</v>
      </c>
    </row>
    <row r="835" spans="1:6" s="92" customFormat="1" ht="23.25" x14ac:dyDescent="0.55000000000000004">
      <c r="A835" s="24">
        <v>4682500</v>
      </c>
      <c r="B835" s="24">
        <v>1836000</v>
      </c>
      <c r="C835" s="29"/>
      <c r="D835" s="30" t="s">
        <v>59</v>
      </c>
      <c r="E835" s="22" t="s">
        <v>60</v>
      </c>
      <c r="F835" s="24"/>
    </row>
    <row r="836" spans="1:6" s="92" customFormat="1" ht="23.25" x14ac:dyDescent="0.55000000000000004">
      <c r="A836" s="23">
        <v>20000</v>
      </c>
      <c r="B836" s="23">
        <v>0</v>
      </c>
      <c r="C836" s="29"/>
      <c r="D836" s="30" t="s">
        <v>61</v>
      </c>
      <c r="E836" s="22" t="s">
        <v>62</v>
      </c>
      <c r="F836" s="23">
        <v>0</v>
      </c>
    </row>
    <row r="837" spans="1:6" s="92" customFormat="1" ht="23.25" x14ac:dyDescent="0.55000000000000004">
      <c r="A837" s="17"/>
      <c r="B837" s="17"/>
      <c r="C837" s="29"/>
      <c r="D837" s="31"/>
      <c r="E837" s="27"/>
      <c r="F837" s="17">
        <v>0</v>
      </c>
    </row>
    <row r="838" spans="1:6" s="92" customFormat="1" ht="24" thickBot="1" x14ac:dyDescent="0.6">
      <c r="A838" s="28">
        <f>SUM(A826:A837)</f>
        <v>22000000</v>
      </c>
      <c r="B838" s="28">
        <f>SUM(B826:B837)</f>
        <v>12640971.740000002</v>
      </c>
      <c r="C838" s="45"/>
      <c r="D838" s="46" t="s">
        <v>13</v>
      </c>
      <c r="E838" s="28" t="s">
        <v>13</v>
      </c>
      <c r="F838" s="28">
        <f>SUM(F826:F837)</f>
        <v>1039834.13</v>
      </c>
    </row>
    <row r="839" spans="1:6" s="92" customFormat="1" ht="24" thickTop="1" x14ac:dyDescent="0.55000000000000004">
      <c r="A839" s="465"/>
      <c r="B839" s="47"/>
      <c r="C839" s="48"/>
      <c r="D839" s="49"/>
      <c r="E839" s="50"/>
      <c r="F839" s="50"/>
    </row>
    <row r="840" spans="1:6" s="92" customFormat="1" ht="23.25" x14ac:dyDescent="0.55000000000000004">
      <c r="A840" s="466"/>
      <c r="B840" s="24">
        <v>0</v>
      </c>
      <c r="C840" s="20"/>
      <c r="D840" s="30" t="s">
        <v>321</v>
      </c>
      <c r="E840" s="22"/>
      <c r="F840" s="23">
        <v>0</v>
      </c>
    </row>
    <row r="841" spans="1:6" s="92" customFormat="1" ht="23.25" x14ac:dyDescent="0.55000000000000004">
      <c r="A841" s="466"/>
      <c r="B841" s="24">
        <f>672000+334100+332300+331100+656900+325800+325000</f>
        <v>2977200</v>
      </c>
      <c r="C841" s="20"/>
      <c r="D841" s="30" t="s">
        <v>63</v>
      </c>
      <c r="E841" s="22"/>
      <c r="F841" s="23">
        <v>325000</v>
      </c>
    </row>
    <row r="842" spans="1:6" s="92" customFormat="1" ht="23.25" x14ac:dyDescent="0.55000000000000004">
      <c r="A842" s="466"/>
      <c r="B842" s="24">
        <f>91200+45600+45600+44800+44800+44800+44800+44800</f>
        <v>406400</v>
      </c>
      <c r="C842" s="20"/>
      <c r="D842" s="30" t="s">
        <v>64</v>
      </c>
      <c r="E842" s="22"/>
      <c r="F842" s="23">
        <v>44800</v>
      </c>
    </row>
    <row r="843" spans="1:6" s="92" customFormat="1" ht="23.25" x14ac:dyDescent="0.55000000000000004">
      <c r="A843" s="413"/>
      <c r="B843" s="24"/>
      <c r="C843" s="29"/>
      <c r="D843" s="30" t="s">
        <v>65</v>
      </c>
      <c r="E843" s="22"/>
      <c r="F843" s="24"/>
    </row>
    <row r="844" spans="1:6" s="92" customFormat="1" ht="23.25" x14ac:dyDescent="0.55000000000000004">
      <c r="A844" s="466"/>
      <c r="B844" s="45">
        <f>443000+458000+952000+395274+91239.18</f>
        <v>2339513.1800000002</v>
      </c>
      <c r="C844" s="45"/>
      <c r="D844" s="46" t="s">
        <v>33</v>
      </c>
      <c r="E844" s="23"/>
      <c r="F844" s="23"/>
    </row>
    <row r="845" spans="1:6" s="92" customFormat="1" ht="23.25" x14ac:dyDescent="0.55000000000000004">
      <c r="A845" s="31"/>
      <c r="B845" s="51">
        <f>961000+760000+59000+441000</f>
        <v>2221000</v>
      </c>
      <c r="C845" s="29"/>
      <c r="D845" s="30" t="s">
        <v>67</v>
      </c>
      <c r="E845" s="22" t="s">
        <v>68</v>
      </c>
      <c r="F845" s="23"/>
    </row>
    <row r="846" spans="1:6" s="92" customFormat="1" ht="23.25" x14ac:dyDescent="0.55000000000000004">
      <c r="A846" s="31"/>
      <c r="B846" s="51">
        <f>330000+23400+11340</f>
        <v>364740</v>
      </c>
      <c r="C846" s="29"/>
      <c r="D846" s="31" t="s">
        <v>66</v>
      </c>
      <c r="E846" s="27" t="s">
        <v>32</v>
      </c>
      <c r="F846" s="17"/>
    </row>
    <row r="847" spans="1:6" s="92" customFormat="1" ht="23.25" x14ac:dyDescent="0.55000000000000004">
      <c r="A847" s="31"/>
      <c r="B847" s="51">
        <f>382100+381100+329700</f>
        <v>1092900</v>
      </c>
      <c r="C847" s="29"/>
      <c r="D847" s="30" t="s">
        <v>69</v>
      </c>
      <c r="E847" s="22" t="s">
        <v>36</v>
      </c>
      <c r="F847" s="24"/>
    </row>
    <row r="848" spans="1:6" s="92" customFormat="1" ht="23.25" x14ac:dyDescent="0.55000000000000004">
      <c r="A848" s="31"/>
      <c r="B848" s="51">
        <f>16513.35+21992.05+39555.32+5901.77+5419.83+22043.45+25449.27+10727.29+12814.43</f>
        <v>160416.76</v>
      </c>
      <c r="C848" s="29"/>
      <c r="D848" s="30" t="s">
        <v>70</v>
      </c>
      <c r="E848" s="22" t="s">
        <v>38</v>
      </c>
      <c r="F848" s="24">
        <v>12814.43</v>
      </c>
    </row>
    <row r="849" spans="1:6" s="92" customFormat="1" ht="23.25" x14ac:dyDescent="0.55000000000000004">
      <c r="A849" s="31"/>
      <c r="B849" s="23">
        <f>11295.5+10709+12864.5+12039+11467+11467+11150+11141</f>
        <v>92133</v>
      </c>
      <c r="C849" s="19"/>
      <c r="D849" s="30" t="s">
        <v>493</v>
      </c>
      <c r="E849" s="53"/>
      <c r="F849" s="24">
        <v>11141</v>
      </c>
    </row>
    <row r="850" spans="1:6" s="92" customFormat="1" ht="23.25" x14ac:dyDescent="0.55000000000000004">
      <c r="A850" s="31"/>
      <c r="B850" s="24"/>
      <c r="C850" s="19"/>
      <c r="D850" s="52" t="s">
        <v>105</v>
      </c>
      <c r="E850" s="53"/>
      <c r="F850" s="24"/>
    </row>
    <row r="851" spans="1:6" s="92" customFormat="1" ht="23.25" x14ac:dyDescent="0.55000000000000004">
      <c r="A851" s="31"/>
      <c r="B851" s="24"/>
      <c r="C851" s="19"/>
      <c r="D851" s="30" t="s">
        <v>71</v>
      </c>
      <c r="E851" s="22"/>
      <c r="F851" s="24"/>
    </row>
    <row r="852" spans="1:6" s="92" customFormat="1" ht="23.25" x14ac:dyDescent="0.55000000000000004">
      <c r="A852" s="31"/>
      <c r="B852" s="24">
        <f>308000+395000</f>
        <v>703000</v>
      </c>
      <c r="C852" s="29"/>
      <c r="D852" s="30" t="s">
        <v>102</v>
      </c>
      <c r="E852" s="22"/>
      <c r="F852" s="24"/>
    </row>
    <row r="853" spans="1:6" s="92" customFormat="1" ht="23.25" x14ac:dyDescent="0.55000000000000004">
      <c r="A853" s="31"/>
      <c r="B853" s="98">
        <f>61820+115526.5+61440+61440+61440+61440</f>
        <v>423106.5</v>
      </c>
      <c r="C853" s="394"/>
      <c r="D853" s="30" t="s">
        <v>615</v>
      </c>
      <c r="E853" s="384"/>
      <c r="F853" s="98"/>
    </row>
    <row r="854" spans="1:6" s="92" customFormat="1" ht="24" x14ac:dyDescent="0.55000000000000004">
      <c r="A854" s="31"/>
      <c r="B854" s="24">
        <f>5500+8600+129440+3315</f>
        <v>146855</v>
      </c>
      <c r="C854" s="29"/>
      <c r="D854" s="439" t="s">
        <v>529</v>
      </c>
      <c r="E854" s="22"/>
      <c r="F854" s="24"/>
    </row>
    <row r="855" spans="1:6" s="92" customFormat="1" ht="24" x14ac:dyDescent="0.55000000000000004">
      <c r="A855" s="31"/>
      <c r="B855" s="24">
        <v>179250</v>
      </c>
      <c r="C855" s="29"/>
      <c r="D855" s="439" t="s">
        <v>535</v>
      </c>
      <c r="E855" s="22"/>
      <c r="F855" s="24"/>
    </row>
    <row r="856" spans="1:6" s="92" customFormat="1" ht="24" x14ac:dyDescent="0.55000000000000004">
      <c r="A856" s="31"/>
      <c r="B856" s="24">
        <f>25131+410</f>
        <v>25541</v>
      </c>
      <c r="C856" s="29"/>
      <c r="D856" s="439" t="s">
        <v>528</v>
      </c>
      <c r="E856" s="22"/>
      <c r="F856" s="24"/>
    </row>
    <row r="857" spans="1:6" s="92" customFormat="1" ht="23.25" x14ac:dyDescent="0.55000000000000004">
      <c r="A857" s="31"/>
      <c r="B857" s="24">
        <v>1061725.6399999999</v>
      </c>
      <c r="C857" s="29"/>
      <c r="D857" s="30" t="s">
        <v>644</v>
      </c>
      <c r="E857" s="22"/>
      <c r="F857" s="24">
        <v>1061725.6399999999</v>
      </c>
    </row>
    <row r="858" spans="1:6" s="92" customFormat="1" ht="23.25" x14ac:dyDescent="0.55000000000000004">
      <c r="A858" s="31"/>
      <c r="B858" s="24">
        <f>1061725.64+1253700</f>
        <v>2315425.6399999997</v>
      </c>
      <c r="C858" s="29"/>
      <c r="D858" s="30" t="s">
        <v>621</v>
      </c>
      <c r="E858" s="22"/>
      <c r="F858" s="24"/>
    </row>
    <row r="859" spans="1:6" s="92" customFormat="1" ht="23.25" x14ac:dyDescent="0.55000000000000004">
      <c r="A859" s="31"/>
      <c r="B859" s="54">
        <f>1284600+2997400</f>
        <v>4282000</v>
      </c>
      <c r="C859" s="66"/>
      <c r="D859" s="552" t="s">
        <v>517</v>
      </c>
      <c r="E859" s="553"/>
      <c r="F859" s="55"/>
    </row>
    <row r="860" spans="1:6" s="92" customFormat="1" ht="23.25" x14ac:dyDescent="0.55000000000000004">
      <c r="A860" s="31"/>
      <c r="B860" s="37">
        <f>SUM(B840:B859)</f>
        <v>18791206.719999999</v>
      </c>
      <c r="C860" s="823" t="s">
        <v>72</v>
      </c>
      <c r="D860" s="823"/>
      <c r="E860" s="56"/>
      <c r="F860" s="37">
        <f>SUM(F840:F859)</f>
        <v>1455481.0699999998</v>
      </c>
    </row>
    <row r="861" spans="1:6" s="92" customFormat="1" ht="23.25" x14ac:dyDescent="0.55000000000000004">
      <c r="A861" s="31"/>
      <c r="B861" s="57">
        <f>SUM(B860+B838)</f>
        <v>31432178.460000001</v>
      </c>
      <c r="C861" s="824" t="s">
        <v>73</v>
      </c>
      <c r="D861" s="823"/>
      <c r="E861" s="56"/>
      <c r="F861" s="37">
        <f>SUM(F860+F838)</f>
        <v>2495315.1999999997</v>
      </c>
    </row>
    <row r="862" spans="1:6" s="92" customFormat="1" ht="23.25" x14ac:dyDescent="0.55000000000000004">
      <c r="A862" s="31"/>
      <c r="B862" s="37"/>
      <c r="C862" s="824" t="s">
        <v>74</v>
      </c>
      <c r="D862" s="823"/>
      <c r="E862" s="56"/>
      <c r="F862" s="37" t="s">
        <v>13</v>
      </c>
    </row>
    <row r="863" spans="1:6" s="92" customFormat="1" ht="23.25" x14ac:dyDescent="0.55000000000000004">
      <c r="A863" s="31"/>
      <c r="B863" s="58">
        <f>SUM(B819-B861)</f>
        <v>393424.05999999493</v>
      </c>
      <c r="C863" s="824" t="s">
        <v>75</v>
      </c>
      <c r="D863" s="823"/>
      <c r="E863" s="56"/>
      <c r="F863" s="59">
        <f>SUM(F819-F861)</f>
        <v>1118082.98</v>
      </c>
    </row>
    <row r="864" spans="1:6" s="92" customFormat="1" ht="23.25" x14ac:dyDescent="0.55000000000000004">
      <c r="A864" s="31"/>
      <c r="B864" s="60">
        <f>SUM(B863+B782)</f>
        <v>14060403.369999995</v>
      </c>
      <c r="C864" s="824"/>
      <c r="D864" s="823"/>
      <c r="E864" s="56"/>
      <c r="F864" s="37">
        <f>SUM(F863+F782)</f>
        <v>14060403.370000001</v>
      </c>
    </row>
    <row r="865" spans="1:6" s="92" customFormat="1" ht="5.25" customHeight="1" x14ac:dyDescent="0.5">
      <c r="A865" s="61"/>
      <c r="B865" s="61"/>
      <c r="C865" s="563"/>
      <c r="D865" s="563"/>
      <c r="E865" s="62"/>
      <c r="F865" s="63"/>
    </row>
    <row r="866" spans="1:6" s="92" customFormat="1" ht="5.25" customHeight="1" x14ac:dyDescent="0.5">
      <c r="A866" s="61"/>
      <c r="B866" s="61"/>
      <c r="C866" s="601"/>
      <c r="D866" s="601"/>
      <c r="E866" s="62"/>
      <c r="F866" s="61"/>
    </row>
    <row r="867" spans="1:6" s="826" customFormat="1" ht="18.75" x14ac:dyDescent="0.45">
      <c r="A867" s="825" t="s">
        <v>547</v>
      </c>
    </row>
    <row r="868" spans="1:6" s="99" customFormat="1" ht="18.75" x14ac:dyDescent="0.45">
      <c r="A868" s="561" t="s">
        <v>546</v>
      </c>
      <c r="B868" s="561"/>
      <c r="C868" s="561"/>
      <c r="D868" s="561"/>
      <c r="E868" s="561"/>
      <c r="F868" s="561"/>
    </row>
    <row r="869" spans="1:6" s="99" customFormat="1" ht="18.75" x14ac:dyDescent="0.45">
      <c r="A869" s="561" t="s">
        <v>519</v>
      </c>
      <c r="B869" s="561"/>
      <c r="C869" s="561"/>
      <c r="D869" s="561"/>
      <c r="E869" s="561"/>
      <c r="F869" s="561"/>
    </row>
    <row r="870" spans="1:6" s="92" customFormat="1" ht="18.75" x14ac:dyDescent="0.45">
      <c r="A870" s="561"/>
      <c r="B870" s="561"/>
      <c r="C870" s="561"/>
      <c r="D870" s="561" t="s">
        <v>545</v>
      </c>
      <c r="E870" s="561"/>
      <c r="F870" s="561"/>
    </row>
    <row r="871" spans="1:6" s="92" customFormat="1" ht="18.75" x14ac:dyDescent="0.45">
      <c r="A871" s="603"/>
      <c r="B871" s="603"/>
      <c r="C871" s="603"/>
      <c r="D871" s="603"/>
      <c r="E871" s="603"/>
      <c r="F871" s="603"/>
    </row>
    <row r="872" spans="1:6" s="92" customFormat="1" ht="18.75" x14ac:dyDescent="0.45">
      <c r="A872" s="603"/>
      <c r="B872" s="603"/>
      <c r="C872" s="603"/>
      <c r="D872" s="603"/>
      <c r="E872" s="603"/>
      <c r="F872" s="603"/>
    </row>
    <row r="873" spans="1:6" s="92" customFormat="1" ht="24" x14ac:dyDescent="0.55000000000000004">
      <c r="A873" s="827" t="s">
        <v>0</v>
      </c>
      <c r="B873" s="827"/>
      <c r="C873" s="827"/>
      <c r="D873" s="827"/>
      <c r="E873" s="827"/>
      <c r="F873" s="827"/>
    </row>
    <row r="874" spans="1:6" s="92" customFormat="1" ht="24" x14ac:dyDescent="0.55000000000000004">
      <c r="A874" s="827" t="s">
        <v>1</v>
      </c>
      <c r="B874" s="827"/>
      <c r="C874" s="827"/>
      <c r="D874" s="827"/>
      <c r="E874" s="827"/>
      <c r="F874" s="827"/>
    </row>
    <row r="875" spans="1:6" s="92" customFormat="1" ht="24" x14ac:dyDescent="0.55000000000000004">
      <c r="A875" s="575"/>
      <c r="B875" s="575"/>
      <c r="C875" s="575"/>
      <c r="D875" s="575"/>
      <c r="E875" s="1" t="s">
        <v>544</v>
      </c>
      <c r="F875" s="2"/>
    </row>
    <row r="876" spans="1:6" s="92" customFormat="1" ht="30.75" x14ac:dyDescent="0.7">
      <c r="A876" s="828" t="s">
        <v>2</v>
      </c>
      <c r="B876" s="828"/>
      <c r="C876" s="828"/>
      <c r="D876" s="828"/>
      <c r="E876" s="828"/>
      <c r="F876" s="828"/>
    </row>
    <row r="877" spans="1:6" s="92" customFormat="1" ht="24.75" thickBot="1" x14ac:dyDescent="0.6">
      <c r="A877" s="3" t="s">
        <v>3</v>
      </c>
      <c r="B877" s="3"/>
      <c r="C877" s="3"/>
      <c r="D877" s="1" t="s">
        <v>645</v>
      </c>
      <c r="E877" s="1"/>
      <c r="F877" s="3"/>
    </row>
    <row r="878" spans="1:6" s="92" customFormat="1" ht="22.5" thickTop="1" x14ac:dyDescent="0.5">
      <c r="A878" s="829" t="s">
        <v>4</v>
      </c>
      <c r="B878" s="830"/>
      <c r="C878" s="831"/>
      <c r="D878" s="832"/>
      <c r="E878" s="5"/>
      <c r="F878" s="6" t="s">
        <v>5</v>
      </c>
    </row>
    <row r="879" spans="1:6" s="92" customFormat="1" ht="21.75" x14ac:dyDescent="0.5">
      <c r="A879" s="7" t="s">
        <v>6</v>
      </c>
      <c r="B879" s="7" t="s">
        <v>7</v>
      </c>
      <c r="E879" s="8" t="s">
        <v>8</v>
      </c>
      <c r="F879" s="9" t="s">
        <v>7</v>
      </c>
    </row>
    <row r="880" spans="1:6" s="92" customFormat="1" ht="22.5" thickBot="1" x14ac:dyDescent="0.55000000000000004">
      <c r="A880" s="10" t="s">
        <v>9</v>
      </c>
      <c r="B880" s="572" t="s">
        <v>9</v>
      </c>
      <c r="C880" s="819" t="s">
        <v>10</v>
      </c>
      <c r="D880" s="820"/>
      <c r="E880" s="11" t="s">
        <v>11</v>
      </c>
      <c r="F880" s="10" t="s">
        <v>9</v>
      </c>
    </row>
    <row r="881" spans="1:6" s="92" customFormat="1" ht="24" thickTop="1" x14ac:dyDescent="0.55000000000000004">
      <c r="A881" s="12"/>
      <c r="B881" s="13">
        <v>13666979.310000001</v>
      </c>
      <c r="C881" s="14" t="s">
        <v>12</v>
      </c>
      <c r="D881" s="15"/>
      <c r="E881" s="16"/>
      <c r="F881" s="17">
        <f>+F864</f>
        <v>14060403.370000001</v>
      </c>
    </row>
    <row r="882" spans="1:6" s="92" customFormat="1" ht="23.25" x14ac:dyDescent="0.55000000000000004">
      <c r="A882" s="18"/>
      <c r="B882" s="19" t="s">
        <v>13</v>
      </c>
      <c r="C882" s="20" t="s">
        <v>14</v>
      </c>
      <c r="D882" s="21"/>
      <c r="E882" s="22"/>
      <c r="F882" s="23"/>
    </row>
    <row r="883" spans="1:6" s="92" customFormat="1" ht="23.25" x14ac:dyDescent="0.55000000000000004">
      <c r="A883" s="23">
        <v>4070000</v>
      </c>
      <c r="B883" s="23">
        <f>24851.32+653.6+2296.15+837656.77+4155543.48+76917.34+7349.6+682.1+1726.15</f>
        <v>5107676.51</v>
      </c>
      <c r="C883" s="93"/>
      <c r="D883" s="19" t="s">
        <v>15</v>
      </c>
      <c r="E883" s="22" t="s">
        <v>16</v>
      </c>
      <c r="F883" s="23">
        <v>1726.15</v>
      </c>
    </row>
    <row r="884" spans="1:6" s="92" customFormat="1" ht="23.25" x14ac:dyDescent="0.55000000000000004">
      <c r="A884" s="23">
        <v>83000</v>
      </c>
      <c r="B884" s="24">
        <f>562+814+684+3058+50+765+793.6+260.4+155.2+252.2+213.4+213.4+3364.8+1166+84320</f>
        <v>96672</v>
      </c>
      <c r="C884" s="93"/>
      <c r="D884" s="19" t="s">
        <v>17</v>
      </c>
      <c r="E884" s="22" t="s">
        <v>18</v>
      </c>
      <c r="F884" s="24">
        <v>1166</v>
      </c>
    </row>
    <row r="885" spans="1:6" s="92" customFormat="1" ht="23.25" x14ac:dyDescent="0.55000000000000004">
      <c r="A885" s="23">
        <v>110000</v>
      </c>
      <c r="B885" s="24">
        <f>33122.75+16284.37+24237.67</f>
        <v>73644.790000000008</v>
      </c>
      <c r="C885" s="93"/>
      <c r="D885" s="19" t="s">
        <v>19</v>
      </c>
      <c r="E885" s="22" t="s">
        <v>20</v>
      </c>
      <c r="F885" s="24">
        <v>24237.67</v>
      </c>
    </row>
    <row r="886" spans="1:6" s="92" customFormat="1" ht="23.25" x14ac:dyDescent="0.55000000000000004">
      <c r="A886" s="23">
        <v>1005000</v>
      </c>
      <c r="B886" s="24">
        <f>41413+41107+47949+77291+68760+118469+66193+43970+118203+21786</f>
        <v>645141</v>
      </c>
      <c r="C886" s="93"/>
      <c r="D886" s="19" t="s">
        <v>21</v>
      </c>
      <c r="E886" s="22" t="s">
        <v>22</v>
      </c>
      <c r="F886" s="24">
        <v>21786</v>
      </c>
    </row>
    <row r="887" spans="1:6" s="92" customFormat="1" ht="23.25" x14ac:dyDescent="0.55000000000000004">
      <c r="A887" s="23">
        <v>90000</v>
      </c>
      <c r="B887" s="23">
        <f>3500+7200+378217.34+4500+5</f>
        <v>393422.34</v>
      </c>
      <c r="C887" s="93"/>
      <c r="D887" s="19" t="s">
        <v>23</v>
      </c>
      <c r="E887" s="22" t="s">
        <v>24</v>
      </c>
      <c r="F887" s="24">
        <v>5</v>
      </c>
    </row>
    <row r="888" spans="1:6" s="92" customFormat="1" ht="23.25" x14ac:dyDescent="0.55000000000000004">
      <c r="A888" s="24">
        <v>2000</v>
      </c>
      <c r="B888" s="23">
        <v>3665</v>
      </c>
      <c r="C888" s="93"/>
      <c r="D888" s="19" t="s">
        <v>106</v>
      </c>
      <c r="E888" s="22" t="s">
        <v>26</v>
      </c>
      <c r="F888" s="23">
        <v>0</v>
      </c>
    </row>
    <row r="889" spans="1:6" s="92" customFormat="1" ht="23.25" x14ac:dyDescent="0.55000000000000004">
      <c r="A889" s="23">
        <v>11890000</v>
      </c>
      <c r="B889" s="23">
        <f>956708.22+877096.73+606176.86+458872.06+1019505.61+1018763.38+662121.78+1199829.46-155.2-252.2-213.4-213.4+943718.81+974248.13</f>
        <v>8716206.8399999999</v>
      </c>
      <c r="C889" s="19"/>
      <c r="D889" s="19" t="s">
        <v>107</v>
      </c>
      <c r="E889" s="22"/>
      <c r="F889" s="23">
        <v>974248.13</v>
      </c>
    </row>
    <row r="890" spans="1:6" s="92" customFormat="1" ht="23.25" x14ac:dyDescent="0.55000000000000004">
      <c r="A890" s="55">
        <v>4750000</v>
      </c>
      <c r="B890" s="17">
        <f>1357655+1386596+466460+333290</f>
        <v>3544001</v>
      </c>
      <c r="C890" s="94"/>
      <c r="D890" s="26" t="s">
        <v>108</v>
      </c>
      <c r="E890" s="27"/>
      <c r="F890" s="17">
        <v>333290</v>
      </c>
    </row>
    <row r="891" spans="1:6" s="92" customFormat="1" ht="24" thickBot="1" x14ac:dyDescent="0.6">
      <c r="A891" s="28">
        <f>SUM(A883:A890)</f>
        <v>22000000</v>
      </c>
      <c r="B891" s="28">
        <f>SUM(B883:B890)</f>
        <v>18580429.48</v>
      </c>
      <c r="C891" s="29"/>
      <c r="D891" s="30"/>
      <c r="E891" s="22"/>
      <c r="F891" s="28">
        <f>SUM(F883:F890)</f>
        <v>1356458.95</v>
      </c>
    </row>
    <row r="892" spans="1:6" s="92" customFormat="1" ht="24" thickTop="1" x14ac:dyDescent="0.55000000000000004">
      <c r="A892" s="13"/>
      <c r="B892" s="23">
        <v>0</v>
      </c>
      <c r="C892" s="65"/>
      <c r="D892" s="19" t="s">
        <v>27</v>
      </c>
      <c r="E892" s="22"/>
      <c r="F892" s="23">
        <v>0</v>
      </c>
    </row>
    <row r="893" spans="1:6" s="92" customFormat="1" ht="23.25" x14ac:dyDescent="0.55000000000000004">
      <c r="A893" s="13"/>
      <c r="B893" s="23">
        <v>0</v>
      </c>
      <c r="C893" s="29"/>
      <c r="D893" s="19" t="s">
        <v>28</v>
      </c>
      <c r="E893" s="22"/>
      <c r="F893" s="23">
        <v>0</v>
      </c>
    </row>
    <row r="894" spans="1:6" s="92" customFormat="1" ht="23.25" x14ac:dyDescent="0.55000000000000004">
      <c r="A894" s="13"/>
      <c r="B894" s="23">
        <f>187.15+394.25+228.95+6516.05+95.95+123.5+18.05+791.35+214.7</f>
        <v>8569.9500000000007</v>
      </c>
      <c r="C894" s="66"/>
      <c r="D894" s="19" t="s">
        <v>29</v>
      </c>
      <c r="E894" s="22"/>
      <c r="F894" s="23">
        <v>214.7</v>
      </c>
    </row>
    <row r="895" spans="1:6" s="92" customFormat="1" ht="23.25" x14ac:dyDescent="0.55000000000000004">
      <c r="A895" s="13"/>
      <c r="B895" s="23">
        <v>0</v>
      </c>
      <c r="C895" s="66"/>
      <c r="D895" s="19" t="s">
        <v>30</v>
      </c>
      <c r="E895" s="22"/>
      <c r="F895" s="23"/>
    </row>
    <row r="896" spans="1:6" s="92" customFormat="1" ht="23.25" x14ac:dyDescent="0.55000000000000004">
      <c r="A896" s="26"/>
      <c r="B896" s="23">
        <v>0</v>
      </c>
      <c r="C896" s="95"/>
      <c r="D896" s="19" t="s">
        <v>31</v>
      </c>
      <c r="E896" s="22" t="s">
        <v>32</v>
      </c>
      <c r="F896" s="23"/>
    </row>
    <row r="897" spans="1:6" s="92" customFormat="1" ht="23.25" x14ac:dyDescent="0.55000000000000004">
      <c r="A897" s="31"/>
      <c r="B897" s="23">
        <v>0</v>
      </c>
      <c r="C897" s="96"/>
      <c r="D897" s="19" t="s">
        <v>33</v>
      </c>
      <c r="E897" s="22" t="s">
        <v>34</v>
      </c>
      <c r="F897" s="23"/>
    </row>
    <row r="898" spans="1:6" s="92" customFormat="1" ht="23.25" x14ac:dyDescent="0.55000000000000004">
      <c r="A898" s="31"/>
      <c r="B898" s="23">
        <v>763200</v>
      </c>
      <c r="C898" s="96"/>
      <c r="D898" s="26" t="s">
        <v>35</v>
      </c>
      <c r="E898" s="22" t="s">
        <v>36</v>
      </c>
      <c r="F898" s="23"/>
    </row>
    <row r="899" spans="1:6" s="92" customFormat="1" ht="23.25" x14ac:dyDescent="0.55000000000000004">
      <c r="A899" s="31"/>
      <c r="B899" s="51">
        <f>463927.91+21870.78-45050+32633.46</f>
        <v>473382.14999999997</v>
      </c>
      <c r="C899" s="96"/>
      <c r="D899" s="19" t="s">
        <v>37</v>
      </c>
      <c r="E899" s="27" t="s">
        <v>38</v>
      </c>
      <c r="F899" s="23">
        <f>102.15+19830.31+12701</f>
        <v>32633.460000000003</v>
      </c>
    </row>
    <row r="900" spans="1:6" s="92" customFormat="1" ht="23.25" x14ac:dyDescent="0.55000000000000004">
      <c r="A900" s="31"/>
      <c r="B900" s="23"/>
      <c r="C900" s="96"/>
      <c r="D900" s="19" t="s">
        <v>538</v>
      </c>
      <c r="E900" s="22" t="s">
        <v>39</v>
      </c>
      <c r="F900" s="23"/>
    </row>
    <row r="901" spans="1:6" s="92" customFormat="1" ht="23.25" x14ac:dyDescent="0.55000000000000004">
      <c r="A901" s="31"/>
      <c r="B901" s="23">
        <f>21800+186690+142415+251350+80480+45600</f>
        <v>728335</v>
      </c>
      <c r="C901" s="96"/>
      <c r="D901" s="33" t="s">
        <v>539</v>
      </c>
      <c r="E901" s="32"/>
      <c r="F901" s="23">
        <f>80480+45600</f>
        <v>126080</v>
      </c>
    </row>
    <row r="902" spans="1:6" s="92" customFormat="1" ht="23.25" x14ac:dyDescent="0.55000000000000004">
      <c r="A902" s="31"/>
      <c r="B902" s="23">
        <f>1090+3420+2280+4560+2280</f>
        <v>13630</v>
      </c>
      <c r="C902" s="96"/>
      <c r="D902" s="33" t="s">
        <v>627</v>
      </c>
      <c r="E902" s="32"/>
      <c r="F902" s="23">
        <v>2280</v>
      </c>
    </row>
    <row r="903" spans="1:6" s="92" customFormat="1" ht="23.25" x14ac:dyDescent="0.55000000000000004">
      <c r="A903" s="31"/>
      <c r="B903" s="23">
        <f>1284600+2997400</f>
        <v>4282000</v>
      </c>
      <c r="C903" s="93"/>
      <c r="D903" s="33" t="s">
        <v>628</v>
      </c>
      <c r="E903" s="22"/>
      <c r="F903" s="23"/>
    </row>
    <row r="904" spans="1:6" s="92" customFormat="1" ht="23.25" x14ac:dyDescent="0.55000000000000004">
      <c r="A904" s="31"/>
      <c r="B904" s="23">
        <f>6383.34+169</f>
        <v>6552.34</v>
      </c>
      <c r="C904" s="96"/>
      <c r="D904" s="438" t="s">
        <v>42</v>
      </c>
      <c r="E904" s="22"/>
      <c r="F904" s="23"/>
    </row>
    <row r="905" spans="1:6" s="92" customFormat="1" ht="23.25" x14ac:dyDescent="0.55000000000000004">
      <c r="A905" s="31"/>
      <c r="B905" s="23">
        <v>50400</v>
      </c>
      <c r="C905" s="96"/>
      <c r="D905" s="438" t="s">
        <v>524</v>
      </c>
      <c r="E905" s="22"/>
      <c r="F905" s="23"/>
    </row>
    <row r="906" spans="1:6" s="92" customFormat="1" ht="23.25" x14ac:dyDescent="0.55000000000000004">
      <c r="A906" s="31"/>
      <c r="B906" s="23">
        <f>1011900+674600+657800+331700+1206300</f>
        <v>3882300</v>
      </c>
      <c r="C906" s="96"/>
      <c r="D906" s="438" t="s">
        <v>525</v>
      </c>
      <c r="E906" s="22"/>
      <c r="F906" s="23"/>
    </row>
    <row r="907" spans="1:6" s="92" customFormat="1" ht="23.25" x14ac:dyDescent="0.55000000000000004">
      <c r="A907" s="31"/>
      <c r="B907" s="23">
        <f>136800+136800+45600+45600+164800</f>
        <v>529600</v>
      </c>
      <c r="C907" s="96"/>
      <c r="D907" s="438" t="s">
        <v>526</v>
      </c>
      <c r="E907" s="22"/>
      <c r="F907" s="23"/>
    </row>
    <row r="908" spans="1:6" s="92" customFormat="1" ht="23.25" x14ac:dyDescent="0.55000000000000004">
      <c r="A908" s="31"/>
      <c r="B908" s="23">
        <f>430+24701+410</f>
        <v>25541</v>
      </c>
      <c r="C908" s="96"/>
      <c r="D908" s="438" t="s">
        <v>528</v>
      </c>
      <c r="E908" s="22"/>
      <c r="F908" s="23"/>
    </row>
    <row r="909" spans="1:6" s="92" customFormat="1" ht="23.25" x14ac:dyDescent="0.55000000000000004">
      <c r="A909" s="31"/>
      <c r="B909" s="23">
        <f>393350+38750+41378+92715+45050+8600+18825</f>
        <v>638668</v>
      </c>
      <c r="C909" s="96"/>
      <c r="D909" s="438" t="s">
        <v>532</v>
      </c>
      <c r="E909" s="22"/>
      <c r="F909" s="23">
        <v>18825</v>
      </c>
    </row>
    <row r="910" spans="1:6" s="92" customFormat="1" ht="23.25" x14ac:dyDescent="0.55000000000000004">
      <c r="A910" s="31"/>
      <c r="B910" s="23">
        <v>82.43</v>
      </c>
      <c r="C910" s="437"/>
      <c r="D910" s="438" t="s">
        <v>533</v>
      </c>
      <c r="E910" s="22"/>
      <c r="F910" s="23"/>
    </row>
    <row r="911" spans="1:6" s="92" customFormat="1" ht="23.25" x14ac:dyDescent="0.55000000000000004">
      <c r="A911" s="31"/>
      <c r="B911" s="23">
        <v>2250</v>
      </c>
      <c r="C911" s="93"/>
      <c r="D911" s="19" t="s">
        <v>534</v>
      </c>
      <c r="E911" s="22"/>
      <c r="F911" s="23"/>
    </row>
    <row r="912" spans="1:6" s="92" customFormat="1" ht="23.25" x14ac:dyDescent="0.55000000000000004">
      <c r="A912" s="31"/>
      <c r="B912" s="23">
        <v>57312</v>
      </c>
      <c r="C912" s="93"/>
      <c r="D912" s="19" t="s">
        <v>667</v>
      </c>
      <c r="E912" s="22"/>
      <c r="F912" s="23">
        <v>57312</v>
      </c>
    </row>
    <row r="913" spans="1:6" s="92" customFormat="1" ht="23.25" x14ac:dyDescent="0.55000000000000004">
      <c r="A913" s="31"/>
      <c r="B913" s="23">
        <v>3</v>
      </c>
      <c r="C913" s="383"/>
      <c r="D913" s="19" t="s">
        <v>619</v>
      </c>
      <c r="E913" s="384"/>
      <c r="F913" s="23"/>
    </row>
    <row r="914" spans="1:6" s="92" customFormat="1" ht="23.25" x14ac:dyDescent="0.55000000000000004">
      <c r="A914" s="31"/>
      <c r="B914" s="23">
        <v>10500</v>
      </c>
      <c r="C914" s="383"/>
      <c r="D914" s="19" t="s">
        <v>647</v>
      </c>
      <c r="E914" s="384"/>
      <c r="F914" s="23">
        <v>10500</v>
      </c>
    </row>
    <row r="915" spans="1:6" s="92" customFormat="1" ht="23.25" x14ac:dyDescent="0.55000000000000004">
      <c r="A915" s="31"/>
      <c r="B915" s="23">
        <v>0.01</v>
      </c>
      <c r="C915" s="383"/>
      <c r="D915" s="19" t="s">
        <v>648</v>
      </c>
      <c r="E915" s="384"/>
      <c r="F915" s="23">
        <v>0.01</v>
      </c>
    </row>
    <row r="916" spans="1:6" s="92" customFormat="1" ht="23.25" x14ac:dyDescent="0.55000000000000004">
      <c r="A916" s="31"/>
      <c r="B916" s="23">
        <v>1061725.6399999999</v>
      </c>
      <c r="C916" s="383"/>
      <c r="D916" s="30" t="s">
        <v>643</v>
      </c>
      <c r="E916" s="384"/>
      <c r="F916" s="23"/>
    </row>
    <row r="917" spans="1:6" s="92" customFormat="1" ht="23.25" x14ac:dyDescent="0.55000000000000004">
      <c r="A917" s="31"/>
      <c r="B917" s="23">
        <f>1061725.64+1253700+1074600</f>
        <v>3390025.6399999997</v>
      </c>
      <c r="C917" s="96"/>
      <c r="D917" s="30" t="s">
        <v>620</v>
      </c>
      <c r="E917" s="22"/>
      <c r="F917" s="23">
        <v>1074600</v>
      </c>
    </row>
    <row r="918" spans="1:6" s="92" customFormat="1" ht="23.25" x14ac:dyDescent="0.55000000000000004">
      <c r="A918" s="31"/>
      <c r="B918" s="35">
        <f>SUM(B892:B917)</f>
        <v>15924077.16</v>
      </c>
      <c r="C918" s="824" t="s">
        <v>43</v>
      </c>
      <c r="D918" s="823"/>
      <c r="E918" s="56"/>
      <c r="F918" s="25">
        <f>SUM(F892:F917)</f>
        <v>1322445.17</v>
      </c>
    </row>
    <row r="919" spans="1:6" s="92" customFormat="1" ht="23.25" x14ac:dyDescent="0.55000000000000004">
      <c r="A919" s="31"/>
      <c r="B919" s="567">
        <f>SUM(B918+B891)</f>
        <v>34504506.640000001</v>
      </c>
      <c r="C919" s="573"/>
      <c r="D919" s="573"/>
      <c r="E919" s="56"/>
      <c r="F919" s="37">
        <f>SUM(F918+F891)</f>
        <v>2678904.12</v>
      </c>
    </row>
    <row r="920" spans="1:6" s="92" customFormat="1" ht="23.25" x14ac:dyDescent="0.55000000000000004">
      <c r="A920" s="26"/>
      <c r="B920" s="565"/>
      <c r="C920" s="608"/>
      <c r="D920" s="608"/>
      <c r="E920" s="566"/>
      <c r="F920" s="13"/>
    </row>
    <row r="921" spans="1:6" s="92" customFormat="1" ht="21.75" x14ac:dyDescent="0.5">
      <c r="A921" s="835" t="s">
        <v>4</v>
      </c>
      <c r="B921" s="836"/>
      <c r="C921" s="837"/>
      <c r="D921" s="838"/>
      <c r="E921" s="568"/>
      <c r="F921" s="569" t="s">
        <v>5</v>
      </c>
    </row>
    <row r="922" spans="1:6" s="92" customFormat="1" ht="21.75" x14ac:dyDescent="0.5">
      <c r="A922" s="7" t="s">
        <v>6</v>
      </c>
      <c r="B922" s="607" t="s">
        <v>7</v>
      </c>
      <c r="C922" s="819" t="s">
        <v>10</v>
      </c>
      <c r="D922" s="820"/>
      <c r="E922" s="8" t="s">
        <v>8</v>
      </c>
      <c r="F922" s="9" t="s">
        <v>7</v>
      </c>
    </row>
    <row r="923" spans="1:6" s="92" customFormat="1" ht="21.75" x14ac:dyDescent="0.5">
      <c r="A923" s="585" t="s">
        <v>9</v>
      </c>
      <c r="B923" s="609" t="s">
        <v>9</v>
      </c>
      <c r="C923" s="833"/>
      <c r="D923" s="834"/>
      <c r="E923" s="613" t="s">
        <v>11</v>
      </c>
      <c r="F923" s="585" t="s">
        <v>9</v>
      </c>
    </row>
    <row r="924" spans="1:6" s="92" customFormat="1" ht="23.25" x14ac:dyDescent="0.55000000000000004">
      <c r="A924" s="12"/>
      <c r="B924" s="13"/>
      <c r="C924" s="612" t="s">
        <v>44</v>
      </c>
      <c r="D924" s="31"/>
      <c r="E924" s="27"/>
      <c r="F924" s="17"/>
    </row>
    <row r="925" spans="1:6" s="92" customFormat="1" ht="23.25" x14ac:dyDescent="0.55000000000000004">
      <c r="A925" s="23">
        <v>1536160</v>
      </c>
      <c r="B925" s="24">
        <f>2500+13795.5+24813+15364.5+257191.2+523619.6+23492.6+23492.6+23175.6+23166.6+60466.6</f>
        <v>991077.79999999993</v>
      </c>
      <c r="C925" s="20"/>
      <c r="D925" s="30" t="s">
        <v>41</v>
      </c>
      <c r="E925" s="22" t="s">
        <v>45</v>
      </c>
      <c r="F925" s="23">
        <v>60466.6</v>
      </c>
    </row>
    <row r="926" spans="1:6" s="92" customFormat="1" ht="23.25" x14ac:dyDescent="0.55000000000000004">
      <c r="A926" s="97">
        <v>2624640</v>
      </c>
      <c r="B926" s="24">
        <f>218720+218720+218720+218720+218720+218720+218720+218720+218720+218720</f>
        <v>2187200</v>
      </c>
      <c r="C926" s="29"/>
      <c r="D926" s="30" t="s">
        <v>46</v>
      </c>
      <c r="E926" s="22" t="s">
        <v>47</v>
      </c>
      <c r="F926" s="23">
        <v>218720</v>
      </c>
    </row>
    <row r="927" spans="1:6" s="92" customFormat="1" ht="23.25" x14ac:dyDescent="0.55000000000000004">
      <c r="A927" s="98">
        <f>4541000+35000+1527000</f>
        <v>6103000</v>
      </c>
      <c r="B927" s="24">
        <f>393371.37+452770+451790+658236.2-257191.2+515839+410025+403685+411105+423000+437290</f>
        <v>4299920.37</v>
      </c>
      <c r="C927" s="29"/>
      <c r="D927" s="30" t="s">
        <v>48</v>
      </c>
      <c r="E927" s="22" t="s">
        <v>47</v>
      </c>
      <c r="F927" s="24">
        <v>437290</v>
      </c>
    </row>
    <row r="928" spans="1:6" s="92" customFormat="1" ht="23.25" x14ac:dyDescent="0.55000000000000004">
      <c r="A928" s="23">
        <f>110000+10000+76000</f>
        <v>196000</v>
      </c>
      <c r="B928" s="24">
        <f>3500+22700+18020+6170+7700+3500+6500+21025+7000+10300</f>
        <v>106415</v>
      </c>
      <c r="C928" s="29"/>
      <c r="D928" s="30" t="s">
        <v>49</v>
      </c>
      <c r="E928" s="22" t="s">
        <v>47</v>
      </c>
      <c r="F928" s="23">
        <v>10300</v>
      </c>
    </row>
    <row r="929" spans="1:6" s="92" customFormat="1" ht="23.25" x14ac:dyDescent="0.55000000000000004">
      <c r="A929" s="23">
        <f>399000+210000+450000+100000+20000+80000+110000+880000+10000+100000</f>
        <v>2359000</v>
      </c>
      <c r="B929" s="24">
        <f>126305+47540+157877+175805.73+330000+86823+49666+11340+110521+23400+26280+83713+49582</f>
        <v>1278852.73</v>
      </c>
      <c r="C929" s="29"/>
      <c r="D929" s="30" t="s">
        <v>50</v>
      </c>
      <c r="E929" s="22" t="s">
        <v>51</v>
      </c>
      <c r="F929" s="23">
        <v>49582</v>
      </c>
    </row>
    <row r="930" spans="1:6" s="92" customFormat="1" ht="23.25" x14ac:dyDescent="0.55000000000000004">
      <c r="A930" s="23">
        <f>374000+55000+510000+20000+300000+10000+400000</f>
        <v>1669000</v>
      </c>
      <c r="B930" s="23">
        <f>8670+35781+199291.9+174658.67+39108+128317.8+93320+109272.52+110789.21-0.01</f>
        <v>899209.09</v>
      </c>
      <c r="C930" s="29"/>
      <c r="D930" s="30" t="s">
        <v>52</v>
      </c>
      <c r="E930" s="22" t="s">
        <v>53</v>
      </c>
      <c r="F930" s="23">
        <f>110789.21-0.01</f>
        <v>110789.20000000001</v>
      </c>
    </row>
    <row r="931" spans="1:6" s="92" customFormat="1" ht="23.25" x14ac:dyDescent="0.55000000000000004">
      <c r="A931" s="23">
        <f>271000+1100000</f>
        <v>1371000</v>
      </c>
      <c r="B931" s="24">
        <f>115218.49+932+105203.83+119261.79+219683.14+120076.86+128423.2+123462.01+140341.5</f>
        <v>1072602.8199999998</v>
      </c>
      <c r="C931" s="29"/>
      <c r="D931" s="30" t="s">
        <v>54</v>
      </c>
      <c r="E931" s="22" t="s">
        <v>55</v>
      </c>
      <c r="F931" s="24">
        <v>140341.5</v>
      </c>
    </row>
    <row r="932" spans="1:6" s="92" customFormat="1" ht="23.25" x14ac:dyDescent="0.55000000000000004">
      <c r="A932" s="23">
        <f>740000+105000+20000</f>
        <v>865000</v>
      </c>
      <c r="B932" s="24">
        <f>217000+167000+338000</f>
        <v>722000</v>
      </c>
      <c r="C932" s="29"/>
      <c r="D932" s="30" t="s">
        <v>25</v>
      </c>
      <c r="E932" s="22" t="s">
        <v>56</v>
      </c>
      <c r="F932" s="24"/>
    </row>
    <row r="933" spans="1:6" s="92" customFormat="1" ht="23.25" x14ac:dyDescent="0.55000000000000004">
      <c r="A933" s="23">
        <f>208100+100000+9600+256000</f>
        <v>573700</v>
      </c>
      <c r="B933" s="24">
        <f>223683.23+51500</f>
        <v>275183.23</v>
      </c>
      <c r="C933" s="29"/>
      <c r="D933" s="30" t="s">
        <v>57</v>
      </c>
      <c r="E933" s="22" t="s">
        <v>58</v>
      </c>
      <c r="F933" s="24"/>
    </row>
    <row r="934" spans="1:6" s="92" customFormat="1" ht="23.25" x14ac:dyDescent="0.55000000000000004">
      <c r="A934" s="24">
        <v>4682500</v>
      </c>
      <c r="B934" s="24">
        <f>1836000+884000</f>
        <v>2720000</v>
      </c>
      <c r="C934" s="29"/>
      <c r="D934" s="30" t="s">
        <v>59</v>
      </c>
      <c r="E934" s="22" t="s">
        <v>60</v>
      </c>
      <c r="F934" s="24">
        <v>884000</v>
      </c>
    </row>
    <row r="935" spans="1:6" s="92" customFormat="1" ht="23.25" x14ac:dyDescent="0.55000000000000004">
      <c r="A935" s="23">
        <v>20000</v>
      </c>
      <c r="B935" s="23">
        <v>0</v>
      </c>
      <c r="C935" s="29"/>
      <c r="D935" s="30" t="s">
        <v>61</v>
      </c>
      <c r="E935" s="22" t="s">
        <v>62</v>
      </c>
      <c r="F935" s="23">
        <v>0</v>
      </c>
    </row>
    <row r="936" spans="1:6" s="92" customFormat="1" ht="23.25" x14ac:dyDescent="0.55000000000000004">
      <c r="A936" s="17"/>
      <c r="B936" s="17"/>
      <c r="C936" s="29"/>
      <c r="D936" s="31"/>
      <c r="E936" s="27"/>
      <c r="F936" s="17">
        <v>0</v>
      </c>
    </row>
    <row r="937" spans="1:6" s="92" customFormat="1" ht="24" thickBot="1" x14ac:dyDescent="0.6">
      <c r="A937" s="28">
        <f>SUM(A925:A936)</f>
        <v>22000000</v>
      </c>
      <c r="B937" s="28">
        <f>SUM(B925:B936)</f>
        <v>14552461.040000001</v>
      </c>
      <c r="C937" s="45"/>
      <c r="D937" s="46" t="s">
        <v>13</v>
      </c>
      <c r="E937" s="28" t="s">
        <v>13</v>
      </c>
      <c r="F937" s="28">
        <f>SUM(F925:F936)</f>
        <v>1911489.3</v>
      </c>
    </row>
    <row r="938" spans="1:6" s="92" customFormat="1" ht="24" thickTop="1" x14ac:dyDescent="0.55000000000000004">
      <c r="A938" s="465"/>
      <c r="B938" s="47"/>
      <c r="C938" s="48"/>
      <c r="D938" s="49"/>
      <c r="E938" s="50"/>
      <c r="F938" s="50"/>
    </row>
    <row r="939" spans="1:6" s="92" customFormat="1" ht="23.25" x14ac:dyDescent="0.55000000000000004">
      <c r="A939" s="466"/>
      <c r="B939" s="24">
        <v>0</v>
      </c>
      <c r="C939" s="20"/>
      <c r="D939" s="30" t="s">
        <v>321</v>
      </c>
      <c r="E939" s="22"/>
      <c r="F939" s="23">
        <v>0</v>
      </c>
    </row>
    <row r="940" spans="1:6" s="92" customFormat="1" ht="23.25" x14ac:dyDescent="0.55000000000000004">
      <c r="A940" s="466"/>
      <c r="B940" s="24">
        <f>672000+334100+332300+331100+656900+325800+325000+325000</f>
        <v>3302200</v>
      </c>
      <c r="C940" s="20"/>
      <c r="D940" s="30" t="s">
        <v>63</v>
      </c>
      <c r="E940" s="22"/>
      <c r="F940" s="23">
        <v>325000</v>
      </c>
    </row>
    <row r="941" spans="1:6" s="92" customFormat="1" ht="23.25" x14ac:dyDescent="0.55000000000000004">
      <c r="A941" s="466"/>
      <c r="B941" s="24">
        <f>91200+45600+45600+44800+44800+44800+44800+44800+44800</f>
        <v>451200</v>
      </c>
      <c r="C941" s="20"/>
      <c r="D941" s="30" t="s">
        <v>64</v>
      </c>
      <c r="E941" s="22"/>
      <c r="F941" s="23">
        <v>44800</v>
      </c>
    </row>
    <row r="942" spans="1:6" s="92" customFormat="1" ht="23.25" x14ac:dyDescent="0.55000000000000004">
      <c r="A942" s="413"/>
      <c r="B942" s="24"/>
      <c r="C942" s="29"/>
      <c r="D942" s="30" t="s">
        <v>65</v>
      </c>
      <c r="E942" s="22"/>
      <c r="F942" s="24"/>
    </row>
    <row r="943" spans="1:6" s="92" customFormat="1" ht="23.25" x14ac:dyDescent="0.55000000000000004">
      <c r="A943" s="466"/>
      <c r="B943" s="45">
        <f>443000+458000+952000+395274+91239.18</f>
        <v>2339513.1800000002</v>
      </c>
      <c r="C943" s="45"/>
      <c r="D943" s="46" t="s">
        <v>33</v>
      </c>
      <c r="E943" s="23"/>
      <c r="F943" s="23"/>
    </row>
    <row r="944" spans="1:6" s="92" customFormat="1" ht="23.25" x14ac:dyDescent="0.55000000000000004">
      <c r="A944" s="31"/>
      <c r="B944" s="51">
        <f>961000+760000+59000+441000</f>
        <v>2221000</v>
      </c>
      <c r="C944" s="29"/>
      <c r="D944" s="30" t="s">
        <v>67</v>
      </c>
      <c r="E944" s="22" t="s">
        <v>68</v>
      </c>
      <c r="F944" s="23"/>
    </row>
    <row r="945" spans="1:6" s="92" customFormat="1" ht="23.25" x14ac:dyDescent="0.55000000000000004">
      <c r="A945" s="31"/>
      <c r="B945" s="51">
        <f>330000+23400+11340</f>
        <v>364740</v>
      </c>
      <c r="C945" s="29"/>
      <c r="D945" s="31" t="s">
        <v>66</v>
      </c>
      <c r="E945" s="27" t="s">
        <v>32</v>
      </c>
      <c r="F945" s="17"/>
    </row>
    <row r="946" spans="1:6" s="92" customFormat="1" ht="23.25" x14ac:dyDescent="0.55000000000000004">
      <c r="A946" s="31"/>
      <c r="B946" s="51">
        <f>382100+381100+329700</f>
        <v>1092900</v>
      </c>
      <c r="C946" s="29"/>
      <c r="D946" s="30" t="s">
        <v>69</v>
      </c>
      <c r="E946" s="22" t="s">
        <v>36</v>
      </c>
      <c r="F946" s="24"/>
    </row>
    <row r="947" spans="1:6" s="92" customFormat="1" ht="23.25" x14ac:dyDescent="0.55000000000000004">
      <c r="A947" s="31"/>
      <c r="B947" s="51">
        <f>16513.35+21992.05+39555.32+5901.77+5419.83+22043.45+25449.27+10727.29+12814.43+11926.93</f>
        <v>172343.69</v>
      </c>
      <c r="C947" s="29"/>
      <c r="D947" s="30" t="s">
        <v>70</v>
      </c>
      <c r="E947" s="22" t="s">
        <v>38</v>
      </c>
      <c r="F947" s="24">
        <v>11926.93</v>
      </c>
    </row>
    <row r="948" spans="1:6" s="92" customFormat="1" ht="23.25" x14ac:dyDescent="0.55000000000000004">
      <c r="A948" s="31"/>
      <c r="B948" s="23">
        <f>11295.5+10709+12864.5+12039+11467+11467+11150+11141+11141</f>
        <v>103274</v>
      </c>
      <c r="C948" s="19"/>
      <c r="D948" s="30" t="s">
        <v>493</v>
      </c>
      <c r="E948" s="53"/>
      <c r="F948" s="24">
        <v>11141</v>
      </c>
    </row>
    <row r="949" spans="1:6" s="92" customFormat="1" ht="23.25" x14ac:dyDescent="0.55000000000000004">
      <c r="A949" s="31"/>
      <c r="B949" s="24"/>
      <c r="C949" s="19"/>
      <c r="D949" s="52" t="s">
        <v>105</v>
      </c>
      <c r="E949" s="53"/>
      <c r="F949" s="24"/>
    </row>
    <row r="950" spans="1:6" s="92" customFormat="1" ht="23.25" x14ac:dyDescent="0.55000000000000004">
      <c r="A950" s="31"/>
      <c r="B950" s="24"/>
      <c r="C950" s="19"/>
      <c r="D950" s="30" t="s">
        <v>71</v>
      </c>
      <c r="E950" s="22"/>
      <c r="F950" s="24"/>
    </row>
    <row r="951" spans="1:6" s="92" customFormat="1" ht="23.25" x14ac:dyDescent="0.55000000000000004">
      <c r="A951" s="31"/>
      <c r="B951" s="24">
        <f>308000+395000</f>
        <v>703000</v>
      </c>
      <c r="C951" s="29"/>
      <c r="D951" s="30" t="s">
        <v>102</v>
      </c>
      <c r="E951" s="22"/>
      <c r="F951" s="24"/>
    </row>
    <row r="952" spans="1:6" s="92" customFormat="1" ht="23.25" x14ac:dyDescent="0.55000000000000004">
      <c r="A952" s="31"/>
      <c r="B952" s="98">
        <f>61820+115526.5+61440+61440+61440+61440+122880</f>
        <v>545986.5</v>
      </c>
      <c r="C952" s="394"/>
      <c r="D952" s="30" t="s">
        <v>615</v>
      </c>
      <c r="E952" s="384"/>
      <c r="F952" s="98">
        <v>122880</v>
      </c>
    </row>
    <row r="953" spans="1:6" s="92" customFormat="1" ht="24" x14ac:dyDescent="0.55000000000000004">
      <c r="A953" s="31"/>
      <c r="B953" s="24">
        <f>5500+8600+129440+3315+4775</f>
        <v>151630</v>
      </c>
      <c r="C953" s="29"/>
      <c r="D953" s="439" t="s">
        <v>529</v>
      </c>
      <c r="E953" s="22"/>
      <c r="F953" s="24">
        <v>4775</v>
      </c>
    </row>
    <row r="954" spans="1:6" s="92" customFormat="1" ht="24" x14ac:dyDescent="0.55000000000000004">
      <c r="A954" s="31"/>
      <c r="B954" s="24">
        <v>179250</v>
      </c>
      <c r="C954" s="29"/>
      <c r="D954" s="439" t="s">
        <v>535</v>
      </c>
      <c r="E954" s="22"/>
      <c r="F954" s="24"/>
    </row>
    <row r="955" spans="1:6" s="92" customFormat="1" ht="24" x14ac:dyDescent="0.55000000000000004">
      <c r="A955" s="31"/>
      <c r="B955" s="24">
        <f>25131+410</f>
        <v>25541</v>
      </c>
      <c r="C955" s="29"/>
      <c r="D955" s="439" t="s">
        <v>528</v>
      </c>
      <c r="E955" s="22"/>
      <c r="F955" s="24"/>
    </row>
    <row r="956" spans="1:6" s="92" customFormat="1" ht="23.25" x14ac:dyDescent="0.55000000000000004">
      <c r="A956" s="31"/>
      <c r="B956" s="24">
        <v>1061725.6399999999</v>
      </c>
      <c r="C956" s="29"/>
      <c r="D956" s="30" t="s">
        <v>644</v>
      </c>
      <c r="E956" s="22"/>
      <c r="F956" s="24"/>
    </row>
    <row r="957" spans="1:6" s="92" customFormat="1" ht="23.25" x14ac:dyDescent="0.55000000000000004">
      <c r="A957" s="31"/>
      <c r="B957" s="24">
        <f>1061725.64+1253700+1074600</f>
        <v>3390025.6399999997</v>
      </c>
      <c r="C957" s="29"/>
      <c r="D957" s="30" t="s">
        <v>621</v>
      </c>
      <c r="E957" s="22"/>
      <c r="F957" s="24">
        <v>1074600</v>
      </c>
    </row>
    <row r="958" spans="1:6" s="92" customFormat="1" ht="23.25" x14ac:dyDescent="0.55000000000000004">
      <c r="A958" s="31"/>
      <c r="B958" s="54">
        <f>1284600+2997400</f>
        <v>4282000</v>
      </c>
      <c r="C958" s="66"/>
      <c r="D958" s="552" t="s">
        <v>517</v>
      </c>
      <c r="E958" s="553"/>
      <c r="F958" s="55"/>
    </row>
    <row r="959" spans="1:6" s="92" customFormat="1" ht="23.25" x14ac:dyDescent="0.55000000000000004">
      <c r="A959" s="31"/>
      <c r="B959" s="37">
        <f>SUM(B939:B958)</f>
        <v>20386329.649999999</v>
      </c>
      <c r="C959" s="823" t="s">
        <v>72</v>
      </c>
      <c r="D959" s="823"/>
      <c r="E959" s="56"/>
      <c r="F959" s="37">
        <f>SUM(F939:F958)</f>
        <v>1595122.93</v>
      </c>
    </row>
    <row r="960" spans="1:6" s="92" customFormat="1" ht="23.25" x14ac:dyDescent="0.55000000000000004">
      <c r="A960" s="31"/>
      <c r="B960" s="57">
        <f>SUM(B959+B937)</f>
        <v>34938790.689999998</v>
      </c>
      <c r="C960" s="824" t="s">
        <v>73</v>
      </c>
      <c r="D960" s="823"/>
      <c r="E960" s="56"/>
      <c r="F960" s="37">
        <f>SUM(F959+F937)</f>
        <v>3506612.23</v>
      </c>
    </row>
    <row r="961" spans="1:6" s="92" customFormat="1" ht="23.25" x14ac:dyDescent="0.55000000000000004">
      <c r="A961" s="31"/>
      <c r="B961" s="37"/>
      <c r="C961" s="824" t="s">
        <v>74</v>
      </c>
      <c r="D961" s="823"/>
      <c r="E961" s="56"/>
      <c r="F961" s="37" t="s">
        <v>13</v>
      </c>
    </row>
    <row r="962" spans="1:6" s="92" customFormat="1" ht="23.25" x14ac:dyDescent="0.55000000000000004">
      <c r="A962" s="31"/>
      <c r="B962" s="58">
        <f>SUM(B919-B960)</f>
        <v>-434284.04999999702</v>
      </c>
      <c r="C962" s="824" t="s">
        <v>75</v>
      </c>
      <c r="D962" s="823"/>
      <c r="E962" s="56"/>
      <c r="F962" s="59">
        <f>SUM(F919-F960)</f>
        <v>-827708.10999999987</v>
      </c>
    </row>
    <row r="963" spans="1:6" s="92" customFormat="1" ht="23.25" x14ac:dyDescent="0.55000000000000004">
      <c r="A963" s="31"/>
      <c r="B963" s="60">
        <f>SUM(B962+B881)</f>
        <v>13232695.260000004</v>
      </c>
      <c r="C963" s="824"/>
      <c r="D963" s="823"/>
      <c r="E963" s="56"/>
      <c r="F963" s="37">
        <f>SUM(F962+F881)</f>
        <v>13232695.260000002</v>
      </c>
    </row>
    <row r="964" spans="1:6" s="92" customFormat="1" ht="5.25" customHeight="1" x14ac:dyDescent="0.5">
      <c r="A964" s="61"/>
      <c r="B964" s="61"/>
      <c r="C964" s="571"/>
      <c r="D964" s="571"/>
      <c r="E964" s="62"/>
      <c r="F964" s="63"/>
    </row>
    <row r="965" spans="1:6" s="826" customFormat="1" ht="18.75" x14ac:dyDescent="0.45">
      <c r="A965" s="825" t="s">
        <v>547</v>
      </c>
    </row>
    <row r="966" spans="1:6" s="99" customFormat="1" ht="18.75" x14ac:dyDescent="0.45">
      <c r="A966" s="574" t="s">
        <v>546</v>
      </c>
      <c r="B966" s="574"/>
      <c r="C966" s="574"/>
      <c r="D966" s="574"/>
      <c r="E966" s="574"/>
      <c r="F966" s="574"/>
    </row>
    <row r="967" spans="1:6" s="99" customFormat="1" ht="18.75" x14ac:dyDescent="0.45">
      <c r="A967" s="574" t="s">
        <v>519</v>
      </c>
      <c r="B967" s="574"/>
      <c r="C967" s="574"/>
      <c r="D967" s="574"/>
      <c r="E967" s="574"/>
      <c r="F967" s="574"/>
    </row>
    <row r="968" spans="1:6" s="92" customFormat="1" ht="18.75" x14ac:dyDescent="0.45">
      <c r="A968" s="574"/>
      <c r="B968" s="574"/>
      <c r="C968" s="574"/>
      <c r="D968" s="574" t="s">
        <v>545</v>
      </c>
      <c r="E968" s="574"/>
      <c r="F968" s="574"/>
    </row>
    <row r="969" spans="1:6" s="92" customFormat="1" ht="18.75" x14ac:dyDescent="0.45">
      <c r="A969" s="603"/>
      <c r="B969" s="603"/>
      <c r="C969" s="603"/>
      <c r="D969" s="603"/>
      <c r="E969" s="603"/>
      <c r="F969" s="603"/>
    </row>
    <row r="970" spans="1:6" s="92" customFormat="1" ht="18.75" x14ac:dyDescent="0.45">
      <c r="A970" s="603"/>
      <c r="B970" s="603"/>
      <c r="C970" s="603"/>
      <c r="D970" s="603"/>
      <c r="E970" s="603"/>
      <c r="F970" s="603"/>
    </row>
    <row r="971" spans="1:6" s="92" customFormat="1" ht="24" x14ac:dyDescent="0.55000000000000004">
      <c r="A971" s="827" t="s">
        <v>0</v>
      </c>
      <c r="B971" s="827"/>
      <c r="C971" s="827"/>
      <c r="D971" s="827"/>
      <c r="E971" s="827"/>
      <c r="F971" s="827"/>
    </row>
    <row r="972" spans="1:6" s="92" customFormat="1" ht="24" x14ac:dyDescent="0.55000000000000004">
      <c r="A972" s="827" t="s">
        <v>1</v>
      </c>
      <c r="B972" s="827"/>
      <c r="C972" s="827"/>
      <c r="D972" s="827"/>
      <c r="E972" s="827"/>
      <c r="F972" s="827"/>
    </row>
    <row r="973" spans="1:6" s="92" customFormat="1" ht="24" x14ac:dyDescent="0.55000000000000004">
      <c r="A973" s="583"/>
      <c r="B973" s="583"/>
      <c r="C973" s="583"/>
      <c r="D973" s="583"/>
      <c r="E973" s="1" t="s">
        <v>544</v>
      </c>
      <c r="F973" s="2"/>
    </row>
    <row r="974" spans="1:6" s="92" customFormat="1" ht="30.75" x14ac:dyDescent="0.7">
      <c r="A974" s="828" t="s">
        <v>2</v>
      </c>
      <c r="B974" s="828"/>
      <c r="C974" s="828"/>
      <c r="D974" s="828"/>
      <c r="E974" s="828"/>
      <c r="F974" s="828"/>
    </row>
    <row r="975" spans="1:6" s="92" customFormat="1" ht="24.75" thickBot="1" x14ac:dyDescent="0.6">
      <c r="A975" s="3" t="s">
        <v>3</v>
      </c>
      <c r="B975" s="3"/>
      <c r="C975" s="3"/>
      <c r="D975" s="1" t="s">
        <v>650</v>
      </c>
      <c r="E975" s="1"/>
      <c r="F975" s="3"/>
    </row>
    <row r="976" spans="1:6" s="92" customFormat="1" ht="22.5" thickTop="1" x14ac:dyDescent="0.5">
      <c r="A976" s="829" t="s">
        <v>4</v>
      </c>
      <c r="B976" s="830"/>
      <c r="C976" s="831"/>
      <c r="D976" s="832"/>
      <c r="E976" s="5"/>
      <c r="F976" s="6" t="s">
        <v>5</v>
      </c>
    </row>
    <row r="977" spans="1:6" s="92" customFormat="1" ht="21.75" x14ac:dyDescent="0.5">
      <c r="A977" s="7" t="s">
        <v>6</v>
      </c>
      <c r="B977" s="7" t="s">
        <v>7</v>
      </c>
      <c r="E977" s="8" t="s">
        <v>8</v>
      </c>
      <c r="F977" s="9" t="s">
        <v>7</v>
      </c>
    </row>
    <row r="978" spans="1:6" s="92" customFormat="1" ht="22.5" thickBot="1" x14ac:dyDescent="0.55000000000000004">
      <c r="A978" s="10" t="s">
        <v>9</v>
      </c>
      <c r="B978" s="580" t="s">
        <v>9</v>
      </c>
      <c r="C978" s="819" t="s">
        <v>10</v>
      </c>
      <c r="D978" s="820"/>
      <c r="E978" s="11" t="s">
        <v>11</v>
      </c>
      <c r="F978" s="10" t="s">
        <v>9</v>
      </c>
    </row>
    <row r="979" spans="1:6" s="92" customFormat="1" ht="24" thickTop="1" x14ac:dyDescent="0.55000000000000004">
      <c r="A979" s="12"/>
      <c r="B979" s="13">
        <v>13666979.310000001</v>
      </c>
      <c r="C979" s="14" t="s">
        <v>12</v>
      </c>
      <c r="D979" s="15"/>
      <c r="E979" s="16"/>
      <c r="F979" s="17">
        <f>+F963</f>
        <v>13232695.260000002</v>
      </c>
    </row>
    <row r="980" spans="1:6" s="92" customFormat="1" ht="23.25" x14ac:dyDescent="0.55000000000000004">
      <c r="A980" s="18"/>
      <c r="B980" s="19" t="s">
        <v>13</v>
      </c>
      <c r="C980" s="20" t="s">
        <v>14</v>
      </c>
      <c r="D980" s="21"/>
      <c r="E980" s="22"/>
      <c r="F980" s="23"/>
    </row>
    <row r="981" spans="1:6" s="92" customFormat="1" ht="23.25" x14ac:dyDescent="0.55000000000000004">
      <c r="A981" s="23">
        <v>4070000</v>
      </c>
      <c r="B981" s="23">
        <f>24851.32+653.6+2296.15+837656.77+4155543.48+76917.34+7349.6+682.1+1726.15+67920.98</f>
        <v>5175597.49</v>
      </c>
      <c r="C981" s="93"/>
      <c r="D981" s="19" t="s">
        <v>15</v>
      </c>
      <c r="E981" s="22" t="s">
        <v>16</v>
      </c>
      <c r="F981" s="23">
        <v>67920.98</v>
      </c>
    </row>
    <row r="982" spans="1:6" s="92" customFormat="1" ht="23.25" x14ac:dyDescent="0.55000000000000004">
      <c r="A982" s="23">
        <v>83000</v>
      </c>
      <c r="B982" s="24">
        <f>562+814+684+3058+50+765+793.6+260.4+155.2+252.2+213.4+213.4+3364.8+1166+1298+84320</f>
        <v>97970</v>
      </c>
      <c r="C982" s="93"/>
      <c r="D982" s="19" t="s">
        <v>17</v>
      </c>
      <c r="E982" s="22" t="s">
        <v>18</v>
      </c>
      <c r="F982" s="24">
        <v>1298</v>
      </c>
    </row>
    <row r="983" spans="1:6" s="92" customFormat="1" ht="23.25" x14ac:dyDescent="0.55000000000000004">
      <c r="A983" s="23">
        <v>110000</v>
      </c>
      <c r="B983" s="24">
        <f>33122.75+16284.37+24237.67</f>
        <v>73644.790000000008</v>
      </c>
      <c r="C983" s="93"/>
      <c r="D983" s="19" t="s">
        <v>19</v>
      </c>
      <c r="E983" s="22" t="s">
        <v>20</v>
      </c>
      <c r="F983" s="24"/>
    </row>
    <row r="984" spans="1:6" s="92" customFormat="1" ht="23.25" x14ac:dyDescent="0.55000000000000004">
      <c r="A984" s="23">
        <v>1005000</v>
      </c>
      <c r="B984" s="24">
        <f>41413+41107+47949+77291+68760+118469+66193+43970+118203+21786+168714</f>
        <v>813855</v>
      </c>
      <c r="C984" s="93"/>
      <c r="D984" s="19" t="s">
        <v>21</v>
      </c>
      <c r="E984" s="22" t="s">
        <v>22</v>
      </c>
      <c r="F984" s="24">
        <v>168714</v>
      </c>
    </row>
    <row r="985" spans="1:6" s="92" customFormat="1" ht="23.25" x14ac:dyDescent="0.55000000000000004">
      <c r="A985" s="23">
        <v>90000</v>
      </c>
      <c r="B985" s="23">
        <f>3500+7200+378217.34+4500+5+10+10</f>
        <v>393442.34</v>
      </c>
      <c r="C985" s="93"/>
      <c r="D985" s="19" t="s">
        <v>23</v>
      </c>
      <c r="E985" s="22" t="s">
        <v>24</v>
      </c>
      <c r="F985" s="24">
        <v>20</v>
      </c>
    </row>
    <row r="986" spans="1:6" s="92" customFormat="1" ht="23.25" x14ac:dyDescent="0.55000000000000004">
      <c r="A986" s="24">
        <v>2000</v>
      </c>
      <c r="B986" s="23">
        <v>3665</v>
      </c>
      <c r="C986" s="93"/>
      <c r="D986" s="19" t="s">
        <v>106</v>
      </c>
      <c r="E986" s="22" t="s">
        <v>26</v>
      </c>
      <c r="F986" s="23"/>
    </row>
    <row r="987" spans="1:6" s="92" customFormat="1" ht="23.25" x14ac:dyDescent="0.55000000000000004">
      <c r="A987" s="23">
        <v>11890000</v>
      </c>
      <c r="B987" s="23">
        <f>956708.22+877096.73+606176.86+458872.06+1019505.61+1018763.38+662121.78+1199829.46-155.2-252.2-213.4-213.4+943718.81+974248.13+1625892.32</f>
        <v>10342099.16</v>
      </c>
      <c r="C987" s="19"/>
      <c r="D987" s="19" t="s">
        <v>107</v>
      </c>
      <c r="E987" s="22"/>
      <c r="F987" s="23">
        <v>1625892.32</v>
      </c>
    </row>
    <row r="988" spans="1:6" s="92" customFormat="1" ht="23.25" x14ac:dyDescent="0.55000000000000004">
      <c r="A988" s="55">
        <v>4750000</v>
      </c>
      <c r="B988" s="17">
        <f>1357655+1386596+466460+333290</f>
        <v>3544001</v>
      </c>
      <c r="C988" s="94"/>
      <c r="D988" s="26" t="s">
        <v>108</v>
      </c>
      <c r="E988" s="27"/>
      <c r="F988" s="17"/>
    </row>
    <row r="989" spans="1:6" s="92" customFormat="1" ht="24" thickBot="1" x14ac:dyDescent="0.6">
      <c r="A989" s="28">
        <f>SUM(A981:A988)</f>
        <v>22000000</v>
      </c>
      <c r="B989" s="28">
        <f>SUM(B981:B988)</f>
        <v>20444274.780000001</v>
      </c>
      <c r="C989" s="29"/>
      <c r="D989" s="30"/>
      <c r="E989" s="22"/>
      <c r="F989" s="28">
        <f>SUM(F981:F988)</f>
        <v>1863845.3</v>
      </c>
    </row>
    <row r="990" spans="1:6" s="92" customFormat="1" ht="24" thickTop="1" x14ac:dyDescent="0.55000000000000004">
      <c r="A990" s="13"/>
      <c r="B990" s="23">
        <v>0</v>
      </c>
      <c r="C990" s="65"/>
      <c r="D990" s="19" t="s">
        <v>27</v>
      </c>
      <c r="E990" s="22"/>
      <c r="F990" s="23">
        <v>0</v>
      </c>
    </row>
    <row r="991" spans="1:6" s="92" customFormat="1" ht="23.25" x14ac:dyDescent="0.55000000000000004">
      <c r="A991" s="13"/>
      <c r="B991" s="23">
        <v>0</v>
      </c>
      <c r="C991" s="29"/>
      <c r="D991" s="19" t="s">
        <v>28</v>
      </c>
      <c r="E991" s="22"/>
      <c r="F991" s="23">
        <v>0</v>
      </c>
    </row>
    <row r="992" spans="1:6" s="92" customFormat="1" ht="23.25" x14ac:dyDescent="0.55000000000000004">
      <c r="A992" s="13"/>
      <c r="B992" s="23">
        <f>187.15+394.25+228.95+6516.05+95.95+123.5+18.05+791.35+214.7+16.15</f>
        <v>8586.1</v>
      </c>
      <c r="C992" s="66"/>
      <c r="D992" s="19" t="s">
        <v>29</v>
      </c>
      <c r="E992" s="22"/>
      <c r="F992" s="23">
        <v>16.149999999999999</v>
      </c>
    </row>
    <row r="993" spans="1:6" s="92" customFormat="1" ht="23.25" x14ac:dyDescent="0.55000000000000004">
      <c r="A993" s="13"/>
      <c r="B993" s="23">
        <v>0</v>
      </c>
      <c r="C993" s="66"/>
      <c r="D993" s="19" t="s">
        <v>30</v>
      </c>
      <c r="E993" s="22"/>
      <c r="F993" s="23"/>
    </row>
    <row r="994" spans="1:6" s="92" customFormat="1" ht="23.25" x14ac:dyDescent="0.55000000000000004">
      <c r="A994" s="26"/>
      <c r="B994" s="23">
        <v>0</v>
      </c>
      <c r="C994" s="95"/>
      <c r="D994" s="19" t="s">
        <v>31</v>
      </c>
      <c r="E994" s="22" t="s">
        <v>32</v>
      </c>
      <c r="F994" s="23"/>
    </row>
    <row r="995" spans="1:6" s="92" customFormat="1" ht="23.25" x14ac:dyDescent="0.55000000000000004">
      <c r="A995" s="31"/>
      <c r="B995" s="23">
        <f>40+9975</f>
        <v>10015</v>
      </c>
      <c r="C995" s="96"/>
      <c r="D995" s="19" t="s">
        <v>33</v>
      </c>
      <c r="E995" s="22" t="s">
        <v>34</v>
      </c>
      <c r="F995" s="23">
        <f>40+9975</f>
        <v>10015</v>
      </c>
    </row>
    <row r="996" spans="1:6" s="92" customFormat="1" ht="23.25" x14ac:dyDescent="0.55000000000000004">
      <c r="A996" s="31"/>
      <c r="B996" s="23">
        <v>763200</v>
      </c>
      <c r="C996" s="96"/>
      <c r="D996" s="26" t="s">
        <v>35</v>
      </c>
      <c r="E996" s="22" t="s">
        <v>36</v>
      </c>
      <c r="F996" s="23"/>
    </row>
    <row r="997" spans="1:6" s="92" customFormat="1" ht="23.25" x14ac:dyDescent="0.55000000000000004">
      <c r="A997" s="31"/>
      <c r="B997" s="51">
        <f>463927.91+21870.78-45050+32633.46+40.6+29962.68+11467+383.18</f>
        <v>515235.60999999993</v>
      </c>
      <c r="C997" s="96"/>
      <c r="D997" s="19" t="s">
        <v>37</v>
      </c>
      <c r="E997" s="27" t="s">
        <v>38</v>
      </c>
      <c r="F997" s="23">
        <f>40.6+29962.68+11467+383.18</f>
        <v>41853.46</v>
      </c>
    </row>
    <row r="998" spans="1:6" s="92" customFormat="1" ht="23.25" x14ac:dyDescent="0.55000000000000004">
      <c r="A998" s="31"/>
      <c r="B998" s="23">
        <f>21800+186690+142415+251350+80480+45600</f>
        <v>728335</v>
      </c>
      <c r="C998" s="96"/>
      <c r="D998" s="33" t="s">
        <v>539</v>
      </c>
      <c r="E998" s="32"/>
      <c r="F998" s="23"/>
    </row>
    <row r="999" spans="1:6" s="92" customFormat="1" ht="23.25" x14ac:dyDescent="0.55000000000000004">
      <c r="A999" s="31"/>
      <c r="B999" s="23">
        <f>1090+3420+2280+4560+2280</f>
        <v>13630</v>
      </c>
      <c r="C999" s="96"/>
      <c r="D999" s="33" t="s">
        <v>652</v>
      </c>
      <c r="E999" s="32"/>
      <c r="F999" s="23"/>
    </row>
    <row r="1000" spans="1:6" s="92" customFormat="1" ht="23.25" x14ac:dyDescent="0.55000000000000004">
      <c r="A1000" s="31"/>
      <c r="B1000" s="23">
        <f>1284600+2997400</f>
        <v>4282000</v>
      </c>
      <c r="C1000" s="93"/>
      <c r="D1000" s="33" t="s">
        <v>628</v>
      </c>
      <c r="E1000" s="22"/>
      <c r="F1000" s="23"/>
    </row>
    <row r="1001" spans="1:6" s="92" customFormat="1" ht="23.25" x14ac:dyDescent="0.55000000000000004">
      <c r="A1001" s="31"/>
      <c r="B1001" s="23">
        <f>6383.34+169</f>
        <v>6552.34</v>
      </c>
      <c r="C1001" s="96"/>
      <c r="D1001" s="438" t="s">
        <v>42</v>
      </c>
      <c r="E1001" s="22"/>
      <c r="F1001" s="23"/>
    </row>
    <row r="1002" spans="1:6" s="92" customFormat="1" ht="23.25" x14ac:dyDescent="0.55000000000000004">
      <c r="A1002" s="31"/>
      <c r="B1002" s="23">
        <v>50400</v>
      </c>
      <c r="C1002" s="96"/>
      <c r="D1002" s="438" t="s">
        <v>524</v>
      </c>
      <c r="E1002" s="22"/>
      <c r="F1002" s="23"/>
    </row>
    <row r="1003" spans="1:6" s="92" customFormat="1" ht="23.25" x14ac:dyDescent="0.55000000000000004">
      <c r="A1003" s="31"/>
      <c r="B1003" s="23">
        <f>1011900+674600+657800+331700+1206300</f>
        <v>3882300</v>
      </c>
      <c r="C1003" s="96"/>
      <c r="D1003" s="438" t="s">
        <v>525</v>
      </c>
      <c r="E1003" s="22"/>
      <c r="F1003" s="23"/>
    </row>
    <row r="1004" spans="1:6" s="92" customFormat="1" ht="23.25" x14ac:dyDescent="0.55000000000000004">
      <c r="A1004" s="31"/>
      <c r="B1004" s="23">
        <f>136800+136800+45600+45600+164800+10400</f>
        <v>540000</v>
      </c>
      <c r="C1004" s="96"/>
      <c r="D1004" s="438" t="s">
        <v>526</v>
      </c>
      <c r="E1004" s="22"/>
      <c r="F1004" s="23">
        <v>10400</v>
      </c>
    </row>
    <row r="1005" spans="1:6" s="92" customFormat="1" ht="23.25" x14ac:dyDescent="0.55000000000000004">
      <c r="A1005" s="31"/>
      <c r="B1005" s="23">
        <f>430+24701+410</f>
        <v>25541</v>
      </c>
      <c r="C1005" s="96"/>
      <c r="D1005" s="438" t="s">
        <v>528</v>
      </c>
      <c r="E1005" s="22"/>
      <c r="F1005" s="23"/>
    </row>
    <row r="1006" spans="1:6" s="92" customFormat="1" ht="23.25" x14ac:dyDescent="0.55000000000000004">
      <c r="A1006" s="31"/>
      <c r="B1006" s="23">
        <f>393350+38750+41378+92715+45050+8600+18825</f>
        <v>638668</v>
      </c>
      <c r="C1006" s="96"/>
      <c r="D1006" s="438" t="s">
        <v>532</v>
      </c>
      <c r="E1006" s="22"/>
      <c r="F1006" s="23"/>
    </row>
    <row r="1007" spans="1:6" s="92" customFormat="1" ht="23.25" x14ac:dyDescent="0.55000000000000004">
      <c r="A1007" s="31"/>
      <c r="B1007" s="23">
        <v>82.43</v>
      </c>
      <c r="C1007" s="437"/>
      <c r="D1007" s="438" t="s">
        <v>533</v>
      </c>
      <c r="E1007" s="22"/>
      <c r="F1007" s="23"/>
    </row>
    <row r="1008" spans="1:6" s="92" customFormat="1" ht="23.25" x14ac:dyDescent="0.55000000000000004">
      <c r="A1008" s="31"/>
      <c r="B1008" s="23">
        <v>2250</v>
      </c>
      <c r="C1008" s="93"/>
      <c r="D1008" s="19" t="s">
        <v>534</v>
      </c>
      <c r="E1008" s="22"/>
      <c r="F1008" s="23"/>
    </row>
    <row r="1009" spans="1:6" s="92" customFormat="1" ht="23.25" x14ac:dyDescent="0.55000000000000004">
      <c r="A1009" s="31"/>
      <c r="B1009" s="23">
        <f>57312+204174</f>
        <v>261486</v>
      </c>
      <c r="C1009" s="93"/>
      <c r="D1009" s="19" t="s">
        <v>653</v>
      </c>
      <c r="E1009" s="22"/>
      <c r="F1009" s="23">
        <v>204174</v>
      </c>
    </row>
    <row r="1010" spans="1:6" s="92" customFormat="1" ht="23.25" x14ac:dyDescent="0.55000000000000004">
      <c r="A1010" s="31"/>
      <c r="B1010" s="23">
        <v>3</v>
      </c>
      <c r="C1010" s="383"/>
      <c r="D1010" s="19" t="s">
        <v>619</v>
      </c>
      <c r="E1010" s="384"/>
      <c r="F1010" s="23"/>
    </row>
    <row r="1011" spans="1:6" s="92" customFormat="1" ht="23.25" x14ac:dyDescent="0.55000000000000004">
      <c r="A1011" s="31"/>
      <c r="B1011" s="23">
        <v>10500</v>
      </c>
      <c r="C1011" s="383"/>
      <c r="D1011" s="19" t="s">
        <v>647</v>
      </c>
      <c r="E1011" s="384"/>
      <c r="F1011" s="23"/>
    </row>
    <row r="1012" spans="1:6" s="92" customFormat="1" ht="23.25" x14ac:dyDescent="0.55000000000000004">
      <c r="A1012" s="31"/>
      <c r="B1012" s="23">
        <v>0.01</v>
      </c>
      <c r="C1012" s="383"/>
      <c r="D1012" s="19" t="s">
        <v>648</v>
      </c>
      <c r="E1012" s="384"/>
      <c r="F1012" s="23"/>
    </row>
    <row r="1013" spans="1:6" s="92" customFormat="1" ht="23.25" x14ac:dyDescent="0.55000000000000004">
      <c r="A1013" s="31"/>
      <c r="B1013" s="23">
        <f>1061725.64+1253700</f>
        <v>2315425.6399999997</v>
      </c>
      <c r="C1013" s="383"/>
      <c r="D1013" s="30" t="s">
        <v>643</v>
      </c>
      <c r="E1013" s="384"/>
      <c r="F1013" s="23">
        <v>1253700</v>
      </c>
    </row>
    <row r="1014" spans="1:6" s="92" customFormat="1" ht="23.25" x14ac:dyDescent="0.55000000000000004">
      <c r="A1014" s="31"/>
      <c r="B1014" s="23">
        <f>1061725.64+1253700+1074600</f>
        <v>3390025.6399999997</v>
      </c>
      <c r="C1014" s="96"/>
      <c r="D1014" s="30" t="s">
        <v>620</v>
      </c>
      <c r="E1014" s="22"/>
      <c r="F1014" s="23"/>
    </row>
    <row r="1015" spans="1:6" s="92" customFormat="1" ht="23.25" x14ac:dyDescent="0.55000000000000004">
      <c r="A1015" s="31"/>
      <c r="B1015" s="35">
        <f>SUM(B990:B1014)</f>
        <v>17444235.77</v>
      </c>
      <c r="C1015" s="824" t="s">
        <v>43</v>
      </c>
      <c r="D1015" s="823"/>
      <c r="E1015" s="56"/>
      <c r="F1015" s="25">
        <f>SUM(F990:F1014)</f>
        <v>1520158.6099999999</v>
      </c>
    </row>
    <row r="1016" spans="1:6" s="92" customFormat="1" ht="23.25" x14ac:dyDescent="0.55000000000000004">
      <c r="A1016" s="31"/>
      <c r="B1016" s="567">
        <f>SUM(B1015+B989)</f>
        <v>37888510.549999997</v>
      </c>
      <c r="C1016" s="581"/>
      <c r="D1016" s="581"/>
      <c r="E1016" s="56"/>
      <c r="F1016" s="37">
        <f>SUM(F1015+F989)</f>
        <v>3384003.91</v>
      </c>
    </row>
    <row r="1017" spans="1:6" s="92" customFormat="1" ht="23.25" x14ac:dyDescent="0.55000000000000004">
      <c r="A1017" s="26"/>
      <c r="B1017" s="565"/>
      <c r="C1017" s="591"/>
      <c r="D1017" s="591"/>
      <c r="E1017" s="566"/>
      <c r="F1017" s="13"/>
    </row>
    <row r="1018" spans="1:6" s="92" customFormat="1" ht="23.25" x14ac:dyDescent="0.55000000000000004">
      <c r="A1018" s="26"/>
      <c r="B1018" s="565"/>
      <c r="C1018" s="602"/>
      <c r="D1018" s="602"/>
      <c r="E1018" s="566"/>
      <c r="F1018" s="13"/>
    </row>
    <row r="1019" spans="1:6" s="92" customFormat="1" ht="24" thickBot="1" x14ac:dyDescent="0.6">
      <c r="A1019" s="586"/>
      <c r="B1019" s="587"/>
      <c r="C1019" s="588"/>
      <c r="D1019" s="588"/>
      <c r="E1019" s="589"/>
      <c r="F1019" s="590"/>
    </row>
    <row r="1020" spans="1:6" s="92" customFormat="1" ht="22.5" thickTop="1" x14ac:dyDescent="0.5">
      <c r="A1020" s="833" t="s">
        <v>4</v>
      </c>
      <c r="B1020" s="834"/>
      <c r="C1020" s="819"/>
      <c r="D1020" s="820"/>
      <c r="E1020" s="8"/>
      <c r="F1020" s="585" t="s">
        <v>5</v>
      </c>
    </row>
    <row r="1021" spans="1:6" s="92" customFormat="1" ht="21.75" x14ac:dyDescent="0.5">
      <c r="A1021" s="7" t="s">
        <v>6</v>
      </c>
      <c r="B1021" s="579" t="s">
        <v>7</v>
      </c>
      <c r="C1021" s="819" t="s">
        <v>10</v>
      </c>
      <c r="D1021" s="820"/>
      <c r="E1021" s="8" t="s">
        <v>8</v>
      </c>
      <c r="F1021" s="9" t="s">
        <v>7</v>
      </c>
    </row>
    <row r="1022" spans="1:6" s="92" customFormat="1" ht="22.5" thickBot="1" x14ac:dyDescent="0.55000000000000004">
      <c r="A1022" s="10" t="s">
        <v>9</v>
      </c>
      <c r="B1022" s="580" t="s">
        <v>9</v>
      </c>
      <c r="C1022" s="821"/>
      <c r="D1022" s="822"/>
      <c r="E1022" s="11" t="s">
        <v>11</v>
      </c>
      <c r="F1022" s="10" t="s">
        <v>9</v>
      </c>
    </row>
    <row r="1023" spans="1:6" s="92" customFormat="1" ht="18.95" customHeight="1" thickTop="1" x14ac:dyDescent="0.55000000000000004">
      <c r="A1023" s="43"/>
      <c r="B1023" s="13"/>
      <c r="C1023" s="44" t="s">
        <v>44</v>
      </c>
      <c r="D1023" s="15"/>
      <c r="E1023" s="16"/>
      <c r="F1023" s="17"/>
    </row>
    <row r="1024" spans="1:6" s="92" customFormat="1" ht="18.95" customHeight="1" x14ac:dyDescent="0.55000000000000004">
      <c r="A1024" s="23">
        <v>1536160</v>
      </c>
      <c r="B1024" s="24">
        <f>2500+13795.5+24813+15364.5+257191.2+523619.6+23492.6+23492.6+23175.6+23166.6+60466.6+697810.63+383.18</f>
        <v>1689271.6099999999</v>
      </c>
      <c r="C1024" s="20"/>
      <c r="D1024" s="30" t="s">
        <v>41</v>
      </c>
      <c r="E1024" s="22" t="s">
        <v>45</v>
      </c>
      <c r="F1024" s="23">
        <f>697810.63+383.18</f>
        <v>698193.81</v>
      </c>
    </row>
    <row r="1025" spans="1:6" s="92" customFormat="1" ht="18.95" customHeight="1" x14ac:dyDescent="0.55000000000000004">
      <c r="A1025" s="97">
        <v>2624640</v>
      </c>
      <c r="B1025" s="24">
        <f>218720+218720+218720+218720+218720+218720+218720+218720+218720+218720+218720</f>
        <v>2405920</v>
      </c>
      <c r="C1025" s="29"/>
      <c r="D1025" s="30" t="s">
        <v>46</v>
      </c>
      <c r="E1025" s="22" t="s">
        <v>47</v>
      </c>
      <c r="F1025" s="23">
        <v>218720</v>
      </c>
    </row>
    <row r="1026" spans="1:6" s="92" customFormat="1" ht="18.95" customHeight="1" x14ac:dyDescent="0.55000000000000004">
      <c r="A1026" s="98">
        <f>4541000+35000+1527000</f>
        <v>6103000</v>
      </c>
      <c r="B1026" s="24">
        <f>393371.37+452770+451790+658236.2-257191.2+515839+410025+403685+411105+423000+437290+433405</f>
        <v>4733325.37</v>
      </c>
      <c r="C1026" s="29"/>
      <c r="D1026" s="30" t="s">
        <v>48</v>
      </c>
      <c r="E1026" s="22" t="s">
        <v>47</v>
      </c>
      <c r="F1026" s="24">
        <v>433405</v>
      </c>
    </row>
    <row r="1027" spans="1:6" s="92" customFormat="1" ht="18.95" customHeight="1" x14ac:dyDescent="0.55000000000000004">
      <c r="A1027" s="23">
        <f>110000+10000+76000</f>
        <v>196000</v>
      </c>
      <c r="B1027" s="24">
        <f>3500+22700+18020+6170+7700+3500+6500+21025+7000+10300+5437</f>
        <v>111852</v>
      </c>
      <c r="C1027" s="29"/>
      <c r="D1027" s="30" t="s">
        <v>49</v>
      </c>
      <c r="E1027" s="22" t="s">
        <v>47</v>
      </c>
      <c r="F1027" s="23">
        <v>5437</v>
      </c>
    </row>
    <row r="1028" spans="1:6" s="92" customFormat="1" ht="18.95" customHeight="1" x14ac:dyDescent="0.55000000000000004">
      <c r="A1028" s="23">
        <f>399000+210000+450000+100000+20000+80000+110000+880000+10000+100000</f>
        <v>2359000</v>
      </c>
      <c r="B1028" s="24">
        <f>126305+47540+157877+175805.73+330000+86823+49666+11340+110521+23400+26280+83713+49582+266683</f>
        <v>1545535.73</v>
      </c>
      <c r="C1028" s="29"/>
      <c r="D1028" s="30" t="s">
        <v>50</v>
      </c>
      <c r="E1028" s="22" t="s">
        <v>51</v>
      </c>
      <c r="F1028" s="23">
        <v>266683</v>
      </c>
    </row>
    <row r="1029" spans="1:6" s="92" customFormat="1" ht="18.95" customHeight="1" x14ac:dyDescent="0.55000000000000004">
      <c r="A1029" s="23">
        <f>374000+55000+510000+20000+300000+10000+400000</f>
        <v>1669000</v>
      </c>
      <c r="B1029" s="23">
        <f>8670+35781+199291.9+174658.67+39108+128317.8+93320+109272.52+110789.21-0.01+168922.08</f>
        <v>1068131.17</v>
      </c>
      <c r="C1029" s="29"/>
      <c r="D1029" s="30" t="s">
        <v>52</v>
      </c>
      <c r="E1029" s="22" t="s">
        <v>53</v>
      </c>
      <c r="F1029" s="23">
        <v>168922.08</v>
      </c>
    </row>
    <row r="1030" spans="1:6" s="92" customFormat="1" ht="18.95" customHeight="1" x14ac:dyDescent="0.55000000000000004">
      <c r="A1030" s="23">
        <f>271000+1100000</f>
        <v>1371000</v>
      </c>
      <c r="B1030" s="24">
        <f>115218.49+932+105203.83+119261.79+219683.14+120076.86+128423.2+123462.01+140341.5+293662.95</f>
        <v>1366265.7699999998</v>
      </c>
      <c r="C1030" s="29"/>
      <c r="D1030" s="30" t="s">
        <v>54</v>
      </c>
      <c r="E1030" s="22" t="s">
        <v>55</v>
      </c>
      <c r="F1030" s="24">
        <v>293662.95</v>
      </c>
    </row>
    <row r="1031" spans="1:6" s="92" customFormat="1" ht="18.95" customHeight="1" x14ac:dyDescent="0.55000000000000004">
      <c r="A1031" s="23">
        <f>740000+105000+20000</f>
        <v>865000</v>
      </c>
      <c r="B1031" s="24">
        <f>217000+167000+338000</f>
        <v>722000</v>
      </c>
      <c r="C1031" s="29"/>
      <c r="D1031" s="30" t="s">
        <v>25</v>
      </c>
      <c r="E1031" s="22" t="s">
        <v>56</v>
      </c>
      <c r="F1031" s="24"/>
    </row>
    <row r="1032" spans="1:6" s="92" customFormat="1" ht="18.95" customHeight="1" x14ac:dyDescent="0.55000000000000004">
      <c r="A1032" s="23">
        <f>208100+100000+9600+256000</f>
        <v>573700</v>
      </c>
      <c r="B1032" s="24">
        <f>223683.23+51500+36000</f>
        <v>311183.23</v>
      </c>
      <c r="C1032" s="29"/>
      <c r="D1032" s="30" t="s">
        <v>57</v>
      </c>
      <c r="E1032" s="22" t="s">
        <v>58</v>
      </c>
      <c r="F1032" s="24">
        <v>36000</v>
      </c>
    </row>
    <row r="1033" spans="1:6" s="92" customFormat="1" ht="18.95" customHeight="1" x14ac:dyDescent="0.55000000000000004">
      <c r="A1033" s="24">
        <v>4682500</v>
      </c>
      <c r="B1033" s="24">
        <f>1836000+884000+933000</f>
        <v>3653000</v>
      </c>
      <c r="C1033" s="29"/>
      <c r="D1033" s="30" t="s">
        <v>59</v>
      </c>
      <c r="E1033" s="22" t="s">
        <v>60</v>
      </c>
      <c r="F1033" s="24">
        <v>933000</v>
      </c>
    </row>
    <row r="1034" spans="1:6" s="92" customFormat="1" ht="18.95" customHeight="1" x14ac:dyDescent="0.55000000000000004">
      <c r="A1034" s="23">
        <v>20000</v>
      </c>
      <c r="B1034" s="23">
        <v>0</v>
      </c>
      <c r="C1034" s="29"/>
      <c r="D1034" s="30" t="s">
        <v>61</v>
      </c>
      <c r="E1034" s="22" t="s">
        <v>62</v>
      </c>
      <c r="F1034" s="23">
        <v>0</v>
      </c>
    </row>
    <row r="1035" spans="1:6" s="92" customFormat="1" ht="18.95" customHeight="1" x14ac:dyDescent="0.55000000000000004">
      <c r="A1035" s="17"/>
      <c r="B1035" s="17"/>
      <c r="C1035" s="29"/>
      <c r="D1035" s="31"/>
      <c r="E1035" s="27"/>
      <c r="F1035" s="17">
        <v>0</v>
      </c>
    </row>
    <row r="1036" spans="1:6" s="92" customFormat="1" ht="18.95" customHeight="1" thickBot="1" x14ac:dyDescent="0.6">
      <c r="A1036" s="28">
        <f>SUM(A1024:A1035)</f>
        <v>22000000</v>
      </c>
      <c r="B1036" s="28">
        <f>SUM(B1024:B1035)</f>
        <v>17606484.880000003</v>
      </c>
      <c r="C1036" s="45"/>
      <c r="D1036" s="46" t="s">
        <v>13</v>
      </c>
      <c r="E1036" s="28" t="s">
        <v>13</v>
      </c>
      <c r="F1036" s="28">
        <f>SUM(F1024:F1035)</f>
        <v>3054023.84</v>
      </c>
    </row>
    <row r="1037" spans="1:6" s="92" customFormat="1" ht="18.95" customHeight="1" thickTop="1" x14ac:dyDescent="0.55000000000000004">
      <c r="A1037" s="466"/>
      <c r="B1037" s="24">
        <v>0</v>
      </c>
      <c r="C1037" s="20"/>
      <c r="D1037" s="30" t="s">
        <v>321</v>
      </c>
      <c r="E1037" s="22"/>
      <c r="F1037" s="23">
        <v>0</v>
      </c>
    </row>
    <row r="1038" spans="1:6" s="92" customFormat="1" ht="18.95" customHeight="1" x14ac:dyDescent="0.55000000000000004">
      <c r="A1038" s="466"/>
      <c r="B1038" s="24">
        <f>672000+334100+332300+331100+656900+325800+325000+325000+324200</f>
        <v>3626400</v>
      </c>
      <c r="C1038" s="20"/>
      <c r="D1038" s="30" t="s">
        <v>63</v>
      </c>
      <c r="E1038" s="22"/>
      <c r="F1038" s="23">
        <v>324200</v>
      </c>
    </row>
    <row r="1039" spans="1:6" s="92" customFormat="1" ht="18.95" customHeight="1" x14ac:dyDescent="0.55000000000000004">
      <c r="A1039" s="466"/>
      <c r="B1039" s="24">
        <f>91200+45600+45600+44800+44800+44800+44800+44800+44800+50400</f>
        <v>501600</v>
      </c>
      <c r="C1039" s="20"/>
      <c r="D1039" s="30" t="s">
        <v>64</v>
      </c>
      <c r="E1039" s="22"/>
      <c r="F1039" s="23">
        <v>50400</v>
      </c>
    </row>
    <row r="1040" spans="1:6" s="92" customFormat="1" ht="18.95" customHeight="1" x14ac:dyDescent="0.55000000000000004">
      <c r="A1040" s="413"/>
      <c r="B1040" s="24"/>
      <c r="C1040" s="29"/>
      <c r="D1040" s="30" t="s">
        <v>65</v>
      </c>
      <c r="E1040" s="22"/>
      <c r="F1040" s="24"/>
    </row>
    <row r="1041" spans="1:6" s="92" customFormat="1" ht="18.95" customHeight="1" x14ac:dyDescent="0.55000000000000004">
      <c r="A1041" s="466"/>
      <c r="B1041" s="45">
        <f>443000+458000+952000+395274+91239.18</f>
        <v>2339513.1800000002</v>
      </c>
      <c r="C1041" s="45"/>
      <c r="D1041" s="46" t="s">
        <v>33</v>
      </c>
      <c r="E1041" s="23"/>
      <c r="F1041" s="23"/>
    </row>
    <row r="1042" spans="1:6" s="92" customFormat="1" ht="18.95" customHeight="1" x14ac:dyDescent="0.55000000000000004">
      <c r="A1042" s="31"/>
      <c r="B1042" s="51">
        <f>961000+760000+59000+441000</f>
        <v>2221000</v>
      </c>
      <c r="C1042" s="29"/>
      <c r="D1042" s="30" t="s">
        <v>67</v>
      </c>
      <c r="E1042" s="22" t="s">
        <v>68</v>
      </c>
      <c r="F1042" s="23"/>
    </row>
    <row r="1043" spans="1:6" s="92" customFormat="1" ht="18.95" customHeight="1" x14ac:dyDescent="0.55000000000000004">
      <c r="A1043" s="31"/>
      <c r="B1043" s="51">
        <f>330000+23400+11340+32500</f>
        <v>397240</v>
      </c>
      <c r="C1043" s="29"/>
      <c r="D1043" s="31" t="s">
        <v>66</v>
      </c>
      <c r="E1043" s="27" t="s">
        <v>32</v>
      </c>
      <c r="F1043" s="17">
        <v>32500</v>
      </c>
    </row>
    <row r="1044" spans="1:6" s="92" customFormat="1" ht="18.95" customHeight="1" x14ac:dyDescent="0.55000000000000004">
      <c r="A1044" s="31"/>
      <c r="B1044" s="51">
        <f>382100+381100+329700</f>
        <v>1092900</v>
      </c>
      <c r="C1044" s="29"/>
      <c r="D1044" s="30" t="s">
        <v>69</v>
      </c>
      <c r="E1044" s="22" t="s">
        <v>36</v>
      </c>
      <c r="F1044" s="24"/>
    </row>
    <row r="1045" spans="1:6" s="92" customFormat="1" ht="18.95" customHeight="1" x14ac:dyDescent="0.55000000000000004">
      <c r="A1045" s="31"/>
      <c r="B1045" s="51">
        <f>16513.35+21992.05+39555.32+5901.77+5419.83+22043.45+25449.27+10727.29+12814.43+11926.93+19830.31</f>
        <v>192174</v>
      </c>
      <c r="C1045" s="29"/>
      <c r="D1045" s="30" t="s">
        <v>70</v>
      </c>
      <c r="E1045" s="22" t="s">
        <v>38</v>
      </c>
      <c r="F1045" s="24">
        <v>19830.310000000001</v>
      </c>
    </row>
    <row r="1046" spans="1:6" s="92" customFormat="1" ht="18.95" customHeight="1" x14ac:dyDescent="0.55000000000000004">
      <c r="A1046" s="31"/>
      <c r="B1046" s="23">
        <f>11295.5+10709+12864.5+12039+11467+11467+11150+11141+11141+11467</f>
        <v>114741</v>
      </c>
      <c r="C1046" s="19"/>
      <c r="D1046" s="30" t="s">
        <v>493</v>
      </c>
      <c r="E1046" s="53"/>
      <c r="F1046" s="24">
        <v>11467</v>
      </c>
    </row>
    <row r="1047" spans="1:6" s="92" customFormat="1" ht="18.95" customHeight="1" x14ac:dyDescent="0.55000000000000004">
      <c r="A1047" s="31"/>
      <c r="B1047" s="24"/>
      <c r="C1047" s="19"/>
      <c r="D1047" s="52" t="s">
        <v>105</v>
      </c>
      <c r="E1047" s="53"/>
      <c r="F1047" s="24"/>
    </row>
    <row r="1048" spans="1:6" s="92" customFormat="1" ht="18.95" customHeight="1" x14ac:dyDescent="0.55000000000000004">
      <c r="A1048" s="31"/>
      <c r="B1048" s="24"/>
      <c r="C1048" s="19"/>
      <c r="D1048" s="30" t="s">
        <v>71</v>
      </c>
      <c r="E1048" s="22"/>
      <c r="F1048" s="24"/>
    </row>
    <row r="1049" spans="1:6" s="92" customFormat="1" ht="18.95" customHeight="1" x14ac:dyDescent="0.55000000000000004">
      <c r="A1049" s="31"/>
      <c r="B1049" s="24">
        <f>308000+395000</f>
        <v>703000</v>
      </c>
      <c r="C1049" s="29"/>
      <c r="D1049" s="30" t="s">
        <v>102</v>
      </c>
      <c r="E1049" s="22"/>
      <c r="F1049" s="24"/>
    </row>
    <row r="1050" spans="1:6" s="92" customFormat="1" ht="18.95" customHeight="1" x14ac:dyDescent="0.55000000000000004">
      <c r="A1050" s="31"/>
      <c r="B1050" s="98">
        <f>61820+115526.5+61440+61440+61440+61440+122880+61440+12640</f>
        <v>620066.5</v>
      </c>
      <c r="C1050" s="394"/>
      <c r="D1050" s="30" t="s">
        <v>615</v>
      </c>
      <c r="E1050" s="384"/>
      <c r="F1050" s="98">
        <f>61440+12640</f>
        <v>74080</v>
      </c>
    </row>
    <row r="1051" spans="1:6" s="92" customFormat="1" ht="18.95" customHeight="1" x14ac:dyDescent="0.55000000000000004">
      <c r="A1051" s="31"/>
      <c r="B1051" s="24">
        <f>5500+8600+129440+3315+4775+27928+9975+40</f>
        <v>189573</v>
      </c>
      <c r="C1051" s="29"/>
      <c r="D1051" s="439" t="s">
        <v>529</v>
      </c>
      <c r="E1051" s="22"/>
      <c r="F1051" s="24">
        <f>27928+9975+40</f>
        <v>37943</v>
      </c>
    </row>
    <row r="1052" spans="1:6" s="92" customFormat="1" ht="18.95" customHeight="1" x14ac:dyDescent="0.55000000000000004">
      <c r="A1052" s="31"/>
      <c r="B1052" s="24">
        <v>179250</v>
      </c>
      <c r="C1052" s="29"/>
      <c r="D1052" s="439" t="s">
        <v>535</v>
      </c>
      <c r="E1052" s="22"/>
      <c r="F1052" s="24"/>
    </row>
    <row r="1053" spans="1:6" s="92" customFormat="1" ht="18.95" customHeight="1" x14ac:dyDescent="0.55000000000000004">
      <c r="A1053" s="31"/>
      <c r="B1053" s="24">
        <v>165500</v>
      </c>
      <c r="C1053" s="29"/>
      <c r="D1053" s="439" t="s">
        <v>654</v>
      </c>
      <c r="E1053" s="22"/>
      <c r="F1053" s="24">
        <v>165500</v>
      </c>
    </row>
    <row r="1054" spans="1:6" s="92" customFormat="1" ht="18.95" customHeight="1" x14ac:dyDescent="0.55000000000000004">
      <c r="A1054" s="31"/>
      <c r="B1054" s="24">
        <v>36600</v>
      </c>
      <c r="C1054" s="29"/>
      <c r="D1054" s="439" t="s">
        <v>655</v>
      </c>
      <c r="E1054" s="22"/>
      <c r="F1054" s="24">
        <v>36600</v>
      </c>
    </row>
    <row r="1055" spans="1:6" s="92" customFormat="1" ht="18.95" customHeight="1" x14ac:dyDescent="0.55000000000000004">
      <c r="A1055" s="31"/>
      <c r="B1055" s="24">
        <v>57312</v>
      </c>
      <c r="C1055" s="29"/>
      <c r="D1055" s="439" t="s">
        <v>657</v>
      </c>
      <c r="E1055" s="22"/>
      <c r="F1055" s="24">
        <v>57312</v>
      </c>
    </row>
    <row r="1056" spans="1:6" s="92" customFormat="1" ht="18.95" customHeight="1" x14ac:dyDescent="0.55000000000000004">
      <c r="A1056" s="31"/>
      <c r="B1056" s="24">
        <v>50292</v>
      </c>
      <c r="C1056" s="29"/>
      <c r="D1056" s="439" t="s">
        <v>656</v>
      </c>
      <c r="E1056" s="22"/>
      <c r="F1056" s="24">
        <v>50292</v>
      </c>
    </row>
    <row r="1057" spans="1:6" s="92" customFormat="1" ht="18.95" customHeight="1" x14ac:dyDescent="0.55000000000000004">
      <c r="A1057" s="31"/>
      <c r="B1057" s="24">
        <v>122420</v>
      </c>
      <c r="C1057" s="29"/>
      <c r="D1057" s="439" t="s">
        <v>658</v>
      </c>
      <c r="E1057" s="22"/>
      <c r="F1057" s="24">
        <v>122420</v>
      </c>
    </row>
    <row r="1058" spans="1:6" s="92" customFormat="1" ht="18.95" customHeight="1" x14ac:dyDescent="0.55000000000000004">
      <c r="A1058" s="31"/>
      <c r="B1058" s="24">
        <f>25131+410</f>
        <v>25541</v>
      </c>
      <c r="C1058" s="29"/>
      <c r="D1058" s="439" t="s">
        <v>528</v>
      </c>
      <c r="E1058" s="22"/>
      <c r="F1058" s="24"/>
    </row>
    <row r="1059" spans="1:6" s="92" customFormat="1" ht="18.95" customHeight="1" x14ac:dyDescent="0.55000000000000004">
      <c r="A1059" s="31"/>
      <c r="B1059" s="24">
        <f>1061725.64+1253700</f>
        <v>2315425.6399999997</v>
      </c>
      <c r="C1059" s="29"/>
      <c r="D1059" s="30" t="s">
        <v>644</v>
      </c>
      <c r="E1059" s="22"/>
      <c r="F1059" s="24">
        <v>1253700</v>
      </c>
    </row>
    <row r="1060" spans="1:6" s="92" customFormat="1" ht="18.95" customHeight="1" x14ac:dyDescent="0.55000000000000004">
      <c r="A1060" s="31"/>
      <c r="B1060" s="24">
        <f>1061725.64+1253700+1074600</f>
        <v>3390025.6399999997</v>
      </c>
      <c r="C1060" s="29"/>
      <c r="D1060" s="30" t="s">
        <v>621</v>
      </c>
      <c r="E1060" s="22"/>
      <c r="F1060" s="24"/>
    </row>
    <row r="1061" spans="1:6" s="92" customFormat="1" ht="18.95" customHeight="1" x14ac:dyDescent="0.55000000000000004">
      <c r="A1061" s="31"/>
      <c r="B1061" s="54">
        <f>1284600+2997400</f>
        <v>4282000</v>
      </c>
      <c r="C1061" s="66"/>
      <c r="D1061" s="552" t="s">
        <v>517</v>
      </c>
      <c r="E1061" s="553"/>
      <c r="F1061" s="55"/>
    </row>
    <row r="1062" spans="1:6" s="92" customFormat="1" ht="18.95" customHeight="1" x14ac:dyDescent="0.55000000000000004">
      <c r="A1062" s="31"/>
      <c r="B1062" s="37">
        <f>SUM(B1037:B1061)</f>
        <v>22622573.960000001</v>
      </c>
      <c r="C1062" s="823" t="s">
        <v>72</v>
      </c>
      <c r="D1062" s="823"/>
      <c r="E1062" s="56"/>
      <c r="F1062" s="37">
        <f>SUM(F1037:F1061)</f>
        <v>2236244.31</v>
      </c>
    </row>
    <row r="1063" spans="1:6" s="92" customFormat="1" ht="18.95" customHeight="1" x14ac:dyDescent="0.55000000000000004">
      <c r="A1063" s="31"/>
      <c r="B1063" s="57">
        <f>SUM(B1062+B1036)</f>
        <v>40229058.840000004</v>
      </c>
      <c r="C1063" s="824" t="s">
        <v>73</v>
      </c>
      <c r="D1063" s="823"/>
      <c r="E1063" s="56"/>
      <c r="F1063" s="37">
        <f>SUM(F1062+F1036)</f>
        <v>5290268.1500000004</v>
      </c>
    </row>
    <row r="1064" spans="1:6" s="92" customFormat="1" ht="18.95" customHeight="1" x14ac:dyDescent="0.55000000000000004">
      <c r="A1064" s="31"/>
      <c r="B1064" s="37"/>
      <c r="C1064" s="824" t="s">
        <v>74</v>
      </c>
      <c r="D1064" s="823"/>
      <c r="E1064" s="56"/>
      <c r="F1064" s="37" t="s">
        <v>13</v>
      </c>
    </row>
    <row r="1065" spans="1:6" s="92" customFormat="1" ht="18.95" customHeight="1" x14ac:dyDescent="0.55000000000000004">
      <c r="A1065" s="31"/>
      <c r="B1065" s="58">
        <f>SUM(B1016-B1063)</f>
        <v>-2340548.2900000066</v>
      </c>
      <c r="C1065" s="824" t="s">
        <v>75</v>
      </c>
      <c r="D1065" s="823"/>
      <c r="E1065" s="56"/>
      <c r="F1065" s="59">
        <f>SUM(F1016-F1063)</f>
        <v>-1906264.2400000002</v>
      </c>
    </row>
    <row r="1066" spans="1:6" s="92" customFormat="1" ht="18.95" customHeight="1" x14ac:dyDescent="0.55000000000000004">
      <c r="A1066" s="31"/>
      <c r="B1066" s="60">
        <f>SUM(B1065+B979)</f>
        <v>11326431.019999994</v>
      </c>
      <c r="C1066" s="824"/>
      <c r="D1066" s="823"/>
      <c r="E1066" s="56"/>
      <c r="F1066" s="37">
        <f>SUM(F1065+F979)</f>
        <v>11326431.020000001</v>
      </c>
    </row>
    <row r="1067" spans="1:6" s="92" customFormat="1" ht="18.95" customHeight="1" x14ac:dyDescent="0.5">
      <c r="A1067" s="61"/>
      <c r="B1067" s="61"/>
      <c r="C1067" s="579"/>
      <c r="D1067" s="579"/>
    </row>
    <row r="1068" spans="1:6" s="92" customFormat="1" ht="18.95" customHeight="1" x14ac:dyDescent="0.5">
      <c r="A1068" s="61"/>
      <c r="B1068" s="61"/>
      <c r="C1068" s="579"/>
      <c r="D1068" s="579"/>
      <c r="E1068" s="62"/>
      <c r="F1068" s="61"/>
    </row>
    <row r="1069" spans="1:6" s="92" customFormat="1" ht="18.95" customHeight="1" x14ac:dyDescent="0.5">
      <c r="A1069" s="61"/>
      <c r="B1069" s="61"/>
      <c r="C1069" s="579"/>
      <c r="D1069" s="579"/>
      <c r="E1069" s="62"/>
      <c r="F1069" s="61"/>
    </row>
    <row r="1070" spans="1:6" s="92" customFormat="1" ht="18.95" customHeight="1" x14ac:dyDescent="0.5">
      <c r="A1070" s="61"/>
      <c r="B1070" s="61"/>
      <c r="C1070" s="579"/>
      <c r="D1070" s="579"/>
      <c r="E1070" s="62"/>
      <c r="F1070" s="61"/>
    </row>
    <row r="1071" spans="1:6" s="92" customFormat="1" ht="18.95" customHeight="1" x14ac:dyDescent="0.5">
      <c r="A1071" s="61"/>
      <c r="B1071" s="61"/>
      <c r="C1071" s="579"/>
      <c r="D1071" s="579"/>
      <c r="E1071" s="62"/>
      <c r="F1071" s="61"/>
    </row>
    <row r="1072" spans="1:6" s="826" customFormat="1" ht="18.95" customHeight="1" x14ac:dyDescent="0.45">
      <c r="A1072" s="825" t="s">
        <v>547</v>
      </c>
    </row>
    <row r="1073" spans="1:6" s="99" customFormat="1" ht="18.95" customHeight="1" x14ac:dyDescent="0.45">
      <c r="A1073" s="582" t="s">
        <v>546</v>
      </c>
      <c r="B1073" s="582"/>
      <c r="C1073" s="582"/>
      <c r="D1073" s="582"/>
      <c r="E1073" s="582"/>
      <c r="F1073" s="582"/>
    </row>
    <row r="1074" spans="1:6" s="99" customFormat="1" ht="18.95" customHeight="1" x14ac:dyDescent="0.45">
      <c r="A1074" s="582" t="s">
        <v>519</v>
      </c>
      <c r="B1074" s="582"/>
      <c r="C1074" s="582"/>
      <c r="D1074" s="582"/>
      <c r="E1074" s="582"/>
      <c r="F1074" s="582"/>
    </row>
    <row r="1075" spans="1:6" s="92" customFormat="1" ht="18.95" customHeight="1" x14ac:dyDescent="0.45">
      <c r="A1075" s="582"/>
      <c r="B1075" s="582"/>
      <c r="C1075" s="582"/>
      <c r="D1075" s="582" t="s">
        <v>545</v>
      </c>
      <c r="E1075" s="582"/>
      <c r="F1075" s="582"/>
    </row>
    <row r="1076" spans="1:6" ht="18.95" customHeight="1" x14ac:dyDescent="0.2"/>
    <row r="1077" spans="1:6" ht="18.95" customHeight="1" x14ac:dyDescent="0.2"/>
    <row r="1078" spans="1:6" ht="18.95" customHeight="1" x14ac:dyDescent="0.2"/>
    <row r="1079" spans="1:6" ht="18.95" customHeight="1" x14ac:dyDescent="0.2"/>
    <row r="1080" spans="1:6" ht="18.95" customHeight="1" x14ac:dyDescent="0.2"/>
    <row r="1081" spans="1:6" ht="18.95" customHeight="1" x14ac:dyDescent="0.2"/>
    <row r="1082" spans="1:6" ht="18.95" customHeight="1" x14ac:dyDescent="0.2"/>
    <row r="1083" spans="1:6" ht="18.95" customHeight="1" x14ac:dyDescent="0.2"/>
    <row r="1084" spans="1:6" ht="18.95" customHeight="1" x14ac:dyDescent="0.2"/>
    <row r="1085" spans="1:6" ht="18.95" customHeight="1" x14ac:dyDescent="0.2"/>
    <row r="1086" spans="1:6" ht="18.95" customHeight="1" x14ac:dyDescent="0.2"/>
    <row r="1087" spans="1:6" ht="18.95" customHeight="1" x14ac:dyDescent="0.2"/>
    <row r="1088" spans="1:6" ht="18.95" customHeight="1" x14ac:dyDescent="0.2"/>
    <row r="1089" ht="18.95" customHeight="1" x14ac:dyDescent="0.2"/>
    <row r="1090" ht="18.95" customHeight="1" x14ac:dyDescent="0.2"/>
    <row r="1091" ht="18.95" customHeight="1" x14ac:dyDescent="0.2"/>
    <row r="1092" ht="18.95" customHeight="1" x14ac:dyDescent="0.2"/>
    <row r="1093" ht="18.95" customHeight="1" x14ac:dyDescent="0.2"/>
    <row r="1094" ht="18.95" customHeight="1" x14ac:dyDescent="0.2"/>
    <row r="1095" ht="18.95" customHeight="1" x14ac:dyDescent="0.2"/>
    <row r="1096" ht="18.95" customHeight="1" x14ac:dyDescent="0.2"/>
    <row r="1097" ht="18.95" customHeight="1" x14ac:dyDescent="0.2"/>
    <row r="1098" ht="18.95" customHeight="1" x14ac:dyDescent="0.2"/>
    <row r="1099" ht="18.95" customHeight="1" x14ac:dyDescent="0.2"/>
    <row r="1100" ht="18.95" customHeight="1" x14ac:dyDescent="0.2"/>
    <row r="1101" ht="18.95" customHeight="1" x14ac:dyDescent="0.2"/>
    <row r="1102" ht="18.95" customHeight="1" x14ac:dyDescent="0.2"/>
    <row r="1103" ht="18.95" customHeight="1" x14ac:dyDescent="0.2"/>
    <row r="1104" ht="18.95" customHeight="1" x14ac:dyDescent="0.2"/>
    <row r="1105" spans="1:6" ht="18.95" customHeight="1" x14ac:dyDescent="0.2"/>
    <row r="1106" spans="1:6" ht="18.95" customHeight="1" x14ac:dyDescent="0.2"/>
    <row r="1107" spans="1:6" ht="18.95" customHeight="1" x14ac:dyDescent="0.2"/>
    <row r="1108" spans="1:6" ht="18.95" customHeight="1" x14ac:dyDescent="0.2"/>
    <row r="1109" spans="1:6" ht="18.95" customHeight="1" x14ac:dyDescent="0.2"/>
    <row r="1110" spans="1:6" ht="18.95" customHeight="1" x14ac:dyDescent="0.2"/>
    <row r="1111" spans="1:6" ht="18.95" customHeight="1" x14ac:dyDescent="0.2"/>
    <row r="1112" spans="1:6" ht="18.95" customHeight="1" x14ac:dyDescent="0.2"/>
    <row r="1113" spans="1:6" ht="18.95" customHeight="1" x14ac:dyDescent="0.2"/>
    <row r="1114" spans="1:6" ht="18.95" customHeight="1" x14ac:dyDescent="0.2"/>
    <row r="1115" spans="1:6" ht="18.95" customHeight="1" x14ac:dyDescent="0.2"/>
    <row r="1116" spans="1:6" ht="18.95" customHeight="1" x14ac:dyDescent="0.2"/>
    <row r="1117" spans="1:6" s="92" customFormat="1" ht="24" x14ac:dyDescent="0.55000000000000004">
      <c r="A1117" s="827" t="s">
        <v>0</v>
      </c>
      <c r="B1117" s="827"/>
      <c r="C1117" s="827"/>
      <c r="D1117" s="827"/>
      <c r="E1117" s="827"/>
      <c r="F1117" s="827"/>
    </row>
    <row r="1118" spans="1:6" s="92" customFormat="1" ht="24" x14ac:dyDescent="0.55000000000000004">
      <c r="A1118" s="827" t="s">
        <v>1</v>
      </c>
      <c r="B1118" s="827"/>
      <c r="C1118" s="827"/>
      <c r="D1118" s="827"/>
      <c r="E1118" s="827"/>
      <c r="F1118" s="827"/>
    </row>
    <row r="1119" spans="1:6" s="92" customFormat="1" ht="24" x14ac:dyDescent="0.55000000000000004">
      <c r="A1119" s="596"/>
      <c r="B1119" s="596"/>
      <c r="C1119" s="596"/>
      <c r="D1119" s="596"/>
      <c r="E1119" s="1" t="s">
        <v>544</v>
      </c>
      <c r="F1119" s="2"/>
    </row>
    <row r="1120" spans="1:6" s="92" customFormat="1" ht="30.75" x14ac:dyDescent="0.7">
      <c r="A1120" s="828" t="s">
        <v>2</v>
      </c>
      <c r="B1120" s="828"/>
      <c r="C1120" s="828"/>
      <c r="D1120" s="828"/>
      <c r="E1120" s="828"/>
      <c r="F1120" s="828"/>
    </row>
    <row r="1121" spans="1:6" s="92" customFormat="1" ht="24.75" thickBot="1" x14ac:dyDescent="0.6">
      <c r="A1121" s="3" t="s">
        <v>3</v>
      </c>
      <c r="B1121" s="3"/>
      <c r="C1121" s="3"/>
      <c r="D1121" s="1" t="s">
        <v>662</v>
      </c>
      <c r="E1121" s="1"/>
      <c r="F1121" s="3"/>
    </row>
    <row r="1122" spans="1:6" s="92" customFormat="1" ht="22.5" thickTop="1" x14ac:dyDescent="0.5">
      <c r="A1122" s="829" t="s">
        <v>4</v>
      </c>
      <c r="B1122" s="830"/>
      <c r="C1122" s="831"/>
      <c r="D1122" s="832"/>
      <c r="E1122" s="5"/>
      <c r="F1122" s="6" t="s">
        <v>5</v>
      </c>
    </row>
    <row r="1123" spans="1:6" s="92" customFormat="1" ht="21.75" x14ac:dyDescent="0.5">
      <c r="A1123" s="7" t="s">
        <v>6</v>
      </c>
      <c r="B1123" s="7" t="s">
        <v>7</v>
      </c>
      <c r="E1123" s="8" t="s">
        <v>8</v>
      </c>
      <c r="F1123" s="9" t="s">
        <v>7</v>
      </c>
    </row>
    <row r="1124" spans="1:6" s="92" customFormat="1" ht="22.5" thickBot="1" x14ac:dyDescent="0.55000000000000004">
      <c r="A1124" s="10" t="s">
        <v>9</v>
      </c>
      <c r="B1124" s="598" t="s">
        <v>9</v>
      </c>
      <c r="C1124" s="819" t="s">
        <v>10</v>
      </c>
      <c r="D1124" s="820"/>
      <c r="E1124" s="11" t="s">
        <v>11</v>
      </c>
      <c r="F1124" s="10" t="s">
        <v>9</v>
      </c>
    </row>
    <row r="1125" spans="1:6" s="92" customFormat="1" ht="24" thickTop="1" x14ac:dyDescent="0.55000000000000004">
      <c r="A1125" s="12"/>
      <c r="B1125" s="13">
        <v>13666979.310000001</v>
      </c>
      <c r="C1125" s="14" t="s">
        <v>12</v>
      </c>
      <c r="D1125" s="15"/>
      <c r="E1125" s="16"/>
      <c r="F1125" s="17">
        <f>+F1066</f>
        <v>11326431.020000001</v>
      </c>
    </row>
    <row r="1126" spans="1:6" s="92" customFormat="1" ht="23.25" x14ac:dyDescent="0.55000000000000004">
      <c r="A1126" s="18"/>
      <c r="B1126" s="19" t="s">
        <v>13</v>
      </c>
      <c r="C1126" s="20" t="s">
        <v>14</v>
      </c>
      <c r="D1126" s="21"/>
      <c r="E1126" s="22"/>
      <c r="F1126" s="23"/>
    </row>
    <row r="1127" spans="1:6" s="92" customFormat="1" ht="23.25" x14ac:dyDescent="0.55000000000000004">
      <c r="A1127" s="23">
        <v>4070000</v>
      </c>
      <c r="B1127" s="23">
        <f>24851.32+653.6+2296.15+837656.77+4155543.48+76917.34+7349.6+682.1+1726.15+67920.98+5407-38986.95-57</f>
        <v>5141960.54</v>
      </c>
      <c r="C1127" s="93"/>
      <c r="D1127" s="19" t="s">
        <v>15</v>
      </c>
      <c r="E1127" s="22" t="s">
        <v>16</v>
      </c>
      <c r="F1127" s="23">
        <v>5407</v>
      </c>
    </row>
    <row r="1128" spans="1:6" s="92" customFormat="1" ht="23.25" x14ac:dyDescent="0.55000000000000004">
      <c r="A1128" s="23">
        <v>83000</v>
      </c>
      <c r="B1128" s="24">
        <f>562+814+684+3058+50+765+793.6+260.4+155.2+252.2+213.4+213.4+3364.8+1166+1298+69.4+84320</f>
        <v>98039.4</v>
      </c>
      <c r="C1128" s="93"/>
      <c r="D1128" s="19" t="s">
        <v>17</v>
      </c>
      <c r="E1128" s="22" t="s">
        <v>18</v>
      </c>
      <c r="F1128" s="24">
        <v>69.400000000000006</v>
      </c>
    </row>
    <row r="1129" spans="1:6" s="92" customFormat="1" ht="23.25" x14ac:dyDescent="0.55000000000000004">
      <c r="A1129" s="23">
        <v>110000</v>
      </c>
      <c r="B1129" s="24">
        <f>33122.75+16284.37+24237.67+8594.29+13586.3+6.5+13.6</f>
        <v>95845.480000000025</v>
      </c>
      <c r="C1129" s="93"/>
      <c r="D1129" s="19" t="s">
        <v>19</v>
      </c>
      <c r="E1129" s="22" t="s">
        <v>20</v>
      </c>
      <c r="F1129" s="24">
        <f>8594.29+13586.3+6.5+13.6</f>
        <v>22200.69</v>
      </c>
    </row>
    <row r="1130" spans="1:6" s="92" customFormat="1" ht="23.25" x14ac:dyDescent="0.55000000000000004">
      <c r="A1130" s="23">
        <v>1005000</v>
      </c>
      <c r="B1130" s="24">
        <f>41413+41107+47949+77291+68760+118469+66193+43970+118203+21786+168714+73628</f>
        <v>887483</v>
      </c>
      <c r="C1130" s="93"/>
      <c r="D1130" s="19" t="s">
        <v>21</v>
      </c>
      <c r="E1130" s="22" t="s">
        <v>22</v>
      </c>
      <c r="F1130" s="24">
        <v>73628</v>
      </c>
    </row>
    <row r="1131" spans="1:6" s="92" customFormat="1" ht="23.25" x14ac:dyDescent="0.55000000000000004">
      <c r="A1131" s="23">
        <v>90000</v>
      </c>
      <c r="B1131" s="23">
        <f>3500+7200+378217.34+4500+5+10+10</f>
        <v>393442.34</v>
      </c>
      <c r="C1131" s="93"/>
      <c r="D1131" s="19" t="s">
        <v>23</v>
      </c>
      <c r="E1131" s="22" t="s">
        <v>24</v>
      </c>
      <c r="F1131" s="24"/>
    </row>
    <row r="1132" spans="1:6" s="92" customFormat="1" ht="23.25" x14ac:dyDescent="0.55000000000000004">
      <c r="A1132" s="24">
        <v>2000</v>
      </c>
      <c r="B1132" s="23">
        <v>3665</v>
      </c>
      <c r="C1132" s="93"/>
      <c r="D1132" s="19" t="s">
        <v>106</v>
      </c>
      <c r="E1132" s="22" t="s">
        <v>26</v>
      </c>
      <c r="F1132" s="23"/>
    </row>
    <row r="1133" spans="1:6" s="92" customFormat="1" ht="23.25" x14ac:dyDescent="0.55000000000000004">
      <c r="A1133" s="23">
        <v>11890000</v>
      </c>
      <c r="B1133" s="23">
        <f>956708.22+877096.73+606176.86+458872.06+1019505.61+1018763.38+662121.78+1199829.46-155.2-252.2-213.4-213.4+943718.81+974248.13+1625892.32+1399415.08</f>
        <v>11741514.24</v>
      </c>
      <c r="C1133" s="19"/>
      <c r="D1133" s="19" t="s">
        <v>107</v>
      </c>
      <c r="E1133" s="22"/>
      <c r="F1133" s="23">
        <v>1399415.08</v>
      </c>
    </row>
    <row r="1134" spans="1:6" s="92" customFormat="1" ht="23.25" x14ac:dyDescent="0.55000000000000004">
      <c r="A1134" s="55">
        <v>4750000</v>
      </c>
      <c r="B1134" s="17">
        <f>1357655+1386596+466460+333290</f>
        <v>3544001</v>
      </c>
      <c r="C1134" s="94"/>
      <c r="D1134" s="26" t="s">
        <v>108</v>
      </c>
      <c r="E1134" s="27"/>
      <c r="F1134" s="17"/>
    </row>
    <row r="1135" spans="1:6" s="92" customFormat="1" ht="24" thickBot="1" x14ac:dyDescent="0.6">
      <c r="A1135" s="28">
        <f>SUM(A1127:A1134)</f>
        <v>22000000</v>
      </c>
      <c r="B1135" s="28">
        <f>SUM(B1127:B1134)</f>
        <v>21905951</v>
      </c>
      <c r="C1135" s="29"/>
      <c r="D1135" s="30"/>
      <c r="E1135" s="22"/>
      <c r="F1135" s="28">
        <f>SUM(F1127:F1134)</f>
        <v>1500720.1700000002</v>
      </c>
    </row>
    <row r="1136" spans="1:6" s="92" customFormat="1" ht="24" thickTop="1" x14ac:dyDescent="0.55000000000000004">
      <c r="A1136" s="13"/>
      <c r="B1136" s="23">
        <v>0</v>
      </c>
      <c r="C1136" s="65"/>
      <c r="D1136" s="19" t="s">
        <v>27</v>
      </c>
      <c r="E1136" s="22"/>
      <c r="F1136" s="23">
        <v>0</v>
      </c>
    </row>
    <row r="1137" spans="1:6" s="92" customFormat="1" ht="23.25" x14ac:dyDescent="0.55000000000000004">
      <c r="A1137" s="13"/>
      <c r="B1137" s="23">
        <v>0</v>
      </c>
      <c r="C1137" s="29"/>
      <c r="D1137" s="19" t="s">
        <v>28</v>
      </c>
      <c r="E1137" s="22"/>
      <c r="F1137" s="23">
        <v>0</v>
      </c>
    </row>
    <row r="1138" spans="1:6" s="92" customFormat="1" ht="23.25" x14ac:dyDescent="0.55000000000000004">
      <c r="A1138" s="13"/>
      <c r="B1138" s="23">
        <f>187.15+394.25+228.95+6516.05+95.95+123.5+18.05+791.35+214.7+16.15+56.05+57</f>
        <v>8699.15</v>
      </c>
      <c r="C1138" s="66"/>
      <c r="D1138" s="19" t="s">
        <v>29</v>
      </c>
      <c r="E1138" s="22"/>
      <c r="F1138" s="23">
        <f>56.05</f>
        <v>56.05</v>
      </c>
    </row>
    <row r="1139" spans="1:6" s="92" customFormat="1" ht="23.25" x14ac:dyDescent="0.55000000000000004">
      <c r="A1139" s="13"/>
      <c r="B1139" s="23">
        <v>38986.949999999997</v>
      </c>
      <c r="C1139" s="66"/>
      <c r="D1139" s="19" t="s">
        <v>30</v>
      </c>
      <c r="E1139" s="22"/>
      <c r="F1139" s="23"/>
    </row>
    <row r="1140" spans="1:6" s="92" customFormat="1" ht="23.25" x14ac:dyDescent="0.55000000000000004">
      <c r="A1140" s="26"/>
      <c r="B1140" s="23">
        <v>0</v>
      </c>
      <c r="C1140" s="95"/>
      <c r="D1140" s="19" t="s">
        <v>31</v>
      </c>
      <c r="E1140" s="22" t="s">
        <v>32</v>
      </c>
      <c r="F1140" s="23"/>
    </row>
    <row r="1141" spans="1:6" s="92" customFormat="1" ht="23.25" x14ac:dyDescent="0.55000000000000004">
      <c r="A1141" s="31"/>
      <c r="B1141" s="23">
        <f>40+9975+142200.09</f>
        <v>152215.09</v>
      </c>
      <c r="C1141" s="96"/>
      <c r="D1141" s="19" t="s">
        <v>33</v>
      </c>
      <c r="E1141" s="22" t="s">
        <v>34</v>
      </c>
      <c r="F1141" s="23">
        <f>2250+91239.18+10500+5489.74+14375.57+9292.34+2+2733+4.08+6314.17+0.01</f>
        <v>142200.09</v>
      </c>
    </row>
    <row r="1142" spans="1:6" s="92" customFormat="1" ht="23.25" x14ac:dyDescent="0.55000000000000004">
      <c r="A1142" s="31"/>
      <c r="B1142" s="23">
        <v>763200</v>
      </c>
      <c r="C1142" s="96"/>
      <c r="D1142" s="26" t="s">
        <v>35</v>
      </c>
      <c r="E1142" s="22" t="s">
        <v>36</v>
      </c>
      <c r="F1142" s="23"/>
    </row>
    <row r="1143" spans="1:6" s="92" customFormat="1" ht="23.25" x14ac:dyDescent="0.55000000000000004">
      <c r="A1143" s="31"/>
      <c r="B1143" s="51">
        <f>463927.91+21870.78-45050+32633.46+40.6+29962.68+11467+15920.67+383.18</f>
        <v>531156.28</v>
      </c>
      <c r="C1143" s="96"/>
      <c r="D1143" s="19" t="s">
        <v>37</v>
      </c>
      <c r="E1143" s="27" t="s">
        <v>38</v>
      </c>
      <c r="F1143" s="23">
        <f>98.95+4354.72+11467</f>
        <v>15920.67</v>
      </c>
    </row>
    <row r="1144" spans="1:6" s="92" customFormat="1" ht="23.25" x14ac:dyDescent="0.55000000000000004">
      <c r="A1144" s="31"/>
      <c r="B1144" s="23">
        <f>21800+186690+142415+251350+80480+45600+40240</f>
        <v>768575</v>
      </c>
      <c r="C1144" s="96"/>
      <c r="D1144" s="33" t="s">
        <v>539</v>
      </c>
      <c r="E1144" s="32"/>
      <c r="F1144" s="23">
        <v>40240</v>
      </c>
    </row>
    <row r="1145" spans="1:6" s="92" customFormat="1" ht="23.25" x14ac:dyDescent="0.55000000000000004">
      <c r="A1145" s="31"/>
      <c r="B1145" s="23">
        <f>1090+3420+2280+4560+2280</f>
        <v>13630</v>
      </c>
      <c r="C1145" s="96"/>
      <c r="D1145" s="33" t="s">
        <v>652</v>
      </c>
      <c r="E1145" s="32"/>
      <c r="F1145" s="23"/>
    </row>
    <row r="1146" spans="1:6" s="92" customFormat="1" ht="23.25" x14ac:dyDescent="0.55000000000000004">
      <c r="A1146" s="31"/>
      <c r="B1146" s="23">
        <f>1284600+2997400</f>
        <v>4282000</v>
      </c>
      <c r="C1146" s="93"/>
      <c r="D1146" s="33" t="s">
        <v>628</v>
      </c>
      <c r="E1146" s="22"/>
      <c r="F1146" s="23"/>
    </row>
    <row r="1147" spans="1:6" s="92" customFormat="1" ht="23.25" x14ac:dyDescent="0.55000000000000004">
      <c r="A1147" s="31"/>
      <c r="B1147" s="23">
        <f>6383.34+169</f>
        <v>6552.34</v>
      </c>
      <c r="C1147" s="96"/>
      <c r="D1147" s="438" t="s">
        <v>42</v>
      </c>
      <c r="E1147" s="22"/>
      <c r="F1147" s="23"/>
    </row>
    <row r="1148" spans="1:6" s="92" customFormat="1" ht="23.25" x14ac:dyDescent="0.55000000000000004">
      <c r="A1148" s="31"/>
      <c r="B1148" s="23">
        <v>50400</v>
      </c>
      <c r="C1148" s="96"/>
      <c r="D1148" s="438" t="s">
        <v>524</v>
      </c>
      <c r="E1148" s="22"/>
      <c r="F1148" s="23"/>
    </row>
    <row r="1149" spans="1:6" s="92" customFormat="1" ht="23.25" x14ac:dyDescent="0.55000000000000004">
      <c r="A1149" s="31"/>
      <c r="B1149" s="23">
        <f>1011900+674600+657800+331700+1206300+66500</f>
        <v>3948800</v>
      </c>
      <c r="C1149" s="96"/>
      <c r="D1149" s="438" t="s">
        <v>525</v>
      </c>
      <c r="E1149" s="22"/>
      <c r="F1149" s="23">
        <v>66500</v>
      </c>
    </row>
    <row r="1150" spans="1:6" s="92" customFormat="1" ht="23.25" x14ac:dyDescent="0.55000000000000004">
      <c r="A1150" s="31"/>
      <c r="B1150" s="23">
        <f>136800+136800+45600+45600+164800+10400+6400</f>
        <v>546400</v>
      </c>
      <c r="C1150" s="96"/>
      <c r="D1150" s="438" t="s">
        <v>526</v>
      </c>
      <c r="E1150" s="22"/>
      <c r="F1150" s="23">
        <v>6400</v>
      </c>
    </row>
    <row r="1151" spans="1:6" s="92" customFormat="1" ht="23.25" x14ac:dyDescent="0.55000000000000004">
      <c r="A1151" s="31"/>
      <c r="B1151" s="23">
        <f>430+24701+410</f>
        <v>25541</v>
      </c>
      <c r="C1151" s="96"/>
      <c r="D1151" s="438" t="s">
        <v>528</v>
      </c>
      <c r="E1151" s="22"/>
      <c r="F1151" s="23"/>
    </row>
    <row r="1152" spans="1:6" s="92" customFormat="1" ht="23.25" x14ac:dyDescent="0.55000000000000004">
      <c r="A1152" s="31"/>
      <c r="B1152" s="23">
        <f>393350+38750+41378+92715+45050+8600+18825+9390</f>
        <v>648058</v>
      </c>
      <c r="C1152" s="96"/>
      <c r="D1152" s="438" t="s">
        <v>532</v>
      </c>
      <c r="E1152" s="22"/>
      <c r="F1152" s="23">
        <v>9390</v>
      </c>
    </row>
    <row r="1153" spans="1:6" s="92" customFormat="1" ht="23.25" x14ac:dyDescent="0.55000000000000004">
      <c r="A1153" s="31"/>
      <c r="B1153" s="23">
        <v>82.43</v>
      </c>
      <c r="C1153" s="437"/>
      <c r="D1153" s="438" t="s">
        <v>533</v>
      </c>
      <c r="E1153" s="22"/>
      <c r="F1153" s="23"/>
    </row>
    <row r="1154" spans="1:6" s="92" customFormat="1" ht="23.25" x14ac:dyDescent="0.55000000000000004">
      <c r="A1154" s="31"/>
      <c r="B1154" s="23">
        <v>2250</v>
      </c>
      <c r="C1154" s="93"/>
      <c r="D1154" s="19" t="s">
        <v>534</v>
      </c>
      <c r="E1154" s="22"/>
      <c r="F1154" s="23"/>
    </row>
    <row r="1155" spans="1:6" s="92" customFormat="1" ht="23.25" x14ac:dyDescent="0.55000000000000004">
      <c r="A1155" s="31"/>
      <c r="B1155" s="23">
        <v>31500</v>
      </c>
      <c r="C1155" s="93"/>
      <c r="D1155" s="19" t="s">
        <v>669</v>
      </c>
      <c r="E1155" s="22"/>
      <c r="F1155" s="23">
        <v>31500</v>
      </c>
    </row>
    <row r="1156" spans="1:6" s="92" customFormat="1" ht="23.25" x14ac:dyDescent="0.55000000000000004">
      <c r="A1156" s="31"/>
      <c r="B1156" s="23">
        <f>57312+204174</f>
        <v>261486</v>
      </c>
      <c r="C1156" s="93"/>
      <c r="D1156" s="19" t="s">
        <v>653</v>
      </c>
      <c r="E1156" s="22"/>
      <c r="F1156" s="23"/>
    </row>
    <row r="1157" spans="1:6" s="92" customFormat="1" ht="23.25" x14ac:dyDescent="0.55000000000000004">
      <c r="A1157" s="31"/>
      <c r="B1157" s="23">
        <v>3</v>
      </c>
      <c r="C1157" s="383"/>
      <c r="D1157" s="19" t="s">
        <v>619</v>
      </c>
      <c r="E1157" s="384"/>
      <c r="F1157" s="23"/>
    </row>
    <row r="1158" spans="1:6" s="92" customFormat="1" ht="23.25" x14ac:dyDescent="0.55000000000000004">
      <c r="A1158" s="31"/>
      <c r="B1158" s="23">
        <v>10500</v>
      </c>
      <c r="C1158" s="383"/>
      <c r="D1158" s="19" t="s">
        <v>647</v>
      </c>
      <c r="E1158" s="384"/>
      <c r="F1158" s="23"/>
    </row>
    <row r="1159" spans="1:6" s="92" customFormat="1" ht="23.25" x14ac:dyDescent="0.55000000000000004">
      <c r="A1159" s="31"/>
      <c r="B1159" s="23">
        <v>0.01</v>
      </c>
      <c r="C1159" s="383"/>
      <c r="D1159" s="19" t="s">
        <v>648</v>
      </c>
      <c r="E1159" s="384"/>
      <c r="F1159" s="23"/>
    </row>
    <row r="1160" spans="1:6" s="92" customFormat="1" ht="17.25" customHeight="1" x14ac:dyDescent="0.55000000000000004">
      <c r="A1160" s="31"/>
      <c r="B1160" s="23">
        <v>20</v>
      </c>
      <c r="C1160" s="383"/>
      <c r="D1160" s="19" t="s">
        <v>670</v>
      </c>
      <c r="E1160" s="384"/>
      <c r="F1160" s="23">
        <v>20</v>
      </c>
    </row>
    <row r="1161" spans="1:6" s="92" customFormat="1" ht="18" customHeight="1" x14ac:dyDescent="0.55000000000000004">
      <c r="A1161" s="31"/>
      <c r="B1161" s="23">
        <f>1061725.64+1253700</f>
        <v>2315425.6399999997</v>
      </c>
      <c r="C1161" s="383"/>
      <c r="D1161" s="30" t="s">
        <v>643</v>
      </c>
      <c r="E1161" s="384"/>
      <c r="F1161" s="23"/>
    </row>
    <row r="1162" spans="1:6" s="92" customFormat="1" ht="18" customHeight="1" x14ac:dyDescent="0.55000000000000004">
      <c r="A1162" s="31"/>
      <c r="B1162" s="23">
        <f>1061725.64+1253700+1074600</f>
        <v>3390025.6399999997</v>
      </c>
      <c r="C1162" s="96"/>
      <c r="D1162" s="30" t="s">
        <v>620</v>
      </c>
      <c r="E1162" s="22"/>
      <c r="F1162" s="23"/>
    </row>
    <row r="1163" spans="1:6" s="92" customFormat="1" ht="18" customHeight="1" x14ac:dyDescent="0.55000000000000004">
      <c r="A1163" s="31"/>
      <c r="B1163" s="35">
        <f>SUM(B1136:B1162)</f>
        <v>17795506.529999997</v>
      </c>
      <c r="C1163" s="824" t="s">
        <v>43</v>
      </c>
      <c r="D1163" s="823"/>
      <c r="E1163" s="56"/>
      <c r="F1163" s="25">
        <f>SUM(F1136:F1162)</f>
        <v>312226.81</v>
      </c>
    </row>
    <row r="1164" spans="1:6" s="92" customFormat="1" ht="23.25" x14ac:dyDescent="0.55000000000000004">
      <c r="A1164" s="31"/>
      <c r="B1164" s="567">
        <f>SUM(B1163+B1135)</f>
        <v>39701457.530000001</v>
      </c>
      <c r="C1164" s="595"/>
      <c r="D1164" s="595"/>
      <c r="E1164" s="56"/>
      <c r="F1164" s="37">
        <f>SUM(F1163+F1135)</f>
        <v>1812946.9800000002</v>
      </c>
    </row>
    <row r="1165" spans="1:6" s="92" customFormat="1" ht="23.25" x14ac:dyDescent="0.55000000000000004">
      <c r="A1165" s="26"/>
      <c r="B1165" s="565"/>
      <c r="C1165" s="595"/>
      <c r="D1165" s="595"/>
      <c r="E1165" s="566"/>
      <c r="F1165" s="13"/>
    </row>
    <row r="1166" spans="1:6" s="92" customFormat="1" ht="21.75" x14ac:dyDescent="0.5">
      <c r="A1166" s="835" t="s">
        <v>4</v>
      </c>
      <c r="B1166" s="836"/>
      <c r="C1166" s="837"/>
      <c r="D1166" s="838"/>
      <c r="E1166" s="568"/>
      <c r="F1166" s="569" t="s">
        <v>5</v>
      </c>
    </row>
    <row r="1167" spans="1:6" s="92" customFormat="1" ht="21.75" x14ac:dyDescent="0.5">
      <c r="A1167" s="7" t="s">
        <v>6</v>
      </c>
      <c r="B1167" s="597" t="s">
        <v>7</v>
      </c>
      <c r="C1167" s="819" t="s">
        <v>10</v>
      </c>
      <c r="D1167" s="820"/>
      <c r="E1167" s="8" t="s">
        <v>8</v>
      </c>
      <c r="F1167" s="9" t="s">
        <v>7</v>
      </c>
    </row>
    <row r="1168" spans="1:6" s="92" customFormat="1" ht="22.5" thickBot="1" x14ac:dyDescent="0.55000000000000004">
      <c r="A1168" s="10" t="s">
        <v>9</v>
      </c>
      <c r="B1168" s="598" t="s">
        <v>9</v>
      </c>
      <c r="C1168" s="821"/>
      <c r="D1168" s="822"/>
      <c r="E1168" s="11" t="s">
        <v>11</v>
      </c>
      <c r="F1168" s="10" t="s">
        <v>9</v>
      </c>
    </row>
    <row r="1169" spans="1:6" s="92" customFormat="1" ht="17.100000000000001" customHeight="1" thickTop="1" x14ac:dyDescent="0.55000000000000004">
      <c r="A1169" s="43"/>
      <c r="B1169" s="13"/>
      <c r="C1169" s="44" t="s">
        <v>44</v>
      </c>
      <c r="D1169" s="15"/>
      <c r="E1169" s="16"/>
      <c r="F1169" s="17"/>
    </row>
    <row r="1170" spans="1:6" s="92" customFormat="1" ht="17.100000000000001" customHeight="1" x14ac:dyDescent="0.55000000000000004">
      <c r="A1170" s="23">
        <v>1536160</v>
      </c>
      <c r="B1170" s="24">
        <f>2500+13795.5+24813+15364.5+257191.2+523619.6+23492.6+23492.6+23175.6+23166.6+60466.6+697810.63+123492.6+383.18-12590</f>
        <v>1800174.21</v>
      </c>
      <c r="C1170" s="20"/>
      <c r="D1170" s="30" t="s">
        <v>41</v>
      </c>
      <c r="E1170" s="22" t="s">
        <v>45</v>
      </c>
      <c r="F1170" s="23">
        <f>123492.6-12590</f>
        <v>110902.6</v>
      </c>
    </row>
    <row r="1171" spans="1:6" s="92" customFormat="1" ht="17.100000000000001" customHeight="1" x14ac:dyDescent="0.55000000000000004">
      <c r="A1171" s="97">
        <v>2624640</v>
      </c>
      <c r="B1171" s="24">
        <f>218720+218720+218720+218720+218720+218720+218720+218720+218720+218720+218720+218720</f>
        <v>2624640</v>
      </c>
      <c r="C1171" s="29"/>
      <c r="D1171" s="30" t="s">
        <v>46</v>
      </c>
      <c r="E1171" s="22" t="s">
        <v>47</v>
      </c>
      <c r="F1171" s="23">
        <v>218720</v>
      </c>
    </row>
    <row r="1172" spans="1:6" s="92" customFormat="1" ht="17.100000000000001" customHeight="1" x14ac:dyDescent="0.55000000000000004">
      <c r="A1172" s="98">
        <f>4541000+35000+1527000</f>
        <v>6103000</v>
      </c>
      <c r="B1172" s="24">
        <f>393371.37+452770+451790+658236.2-257191.2+515839+410025+403685+411105+423000+437290+433405+433525-53660</f>
        <v>5113190.37</v>
      </c>
      <c r="C1172" s="29"/>
      <c r="D1172" s="30" t="s">
        <v>48</v>
      </c>
      <c r="E1172" s="22" t="s">
        <v>47</v>
      </c>
      <c r="F1172" s="24">
        <v>433525</v>
      </c>
    </row>
    <row r="1173" spans="1:6" s="92" customFormat="1" ht="17.100000000000001" customHeight="1" x14ac:dyDescent="0.55000000000000004">
      <c r="A1173" s="23">
        <f>110000+10000+76000</f>
        <v>196000</v>
      </c>
      <c r="B1173" s="24">
        <f>3500+22700+18020+6170+7700+3500+6500+21025+7000+10300+5437+22270+13600-20-19200</f>
        <v>128502</v>
      </c>
      <c r="C1173" s="29"/>
      <c r="D1173" s="30" t="s">
        <v>49</v>
      </c>
      <c r="E1173" s="22" t="s">
        <v>47</v>
      </c>
      <c r="F1173" s="23">
        <v>16650</v>
      </c>
    </row>
    <row r="1174" spans="1:6" s="92" customFormat="1" ht="17.100000000000001" customHeight="1" x14ac:dyDescent="0.55000000000000004">
      <c r="A1174" s="23">
        <f>399000+210000+450000+100000+20000+80000+110000+880000+10000+100000</f>
        <v>2359000</v>
      </c>
      <c r="B1174" s="24">
        <f>126305+47540+157877+175805.73+330000+86823+49666+11340+110521+23400+26280+83713+49582+266683+136615+18900-31500+400+19200+51500</f>
        <v>1740650.73</v>
      </c>
      <c r="C1174" s="29"/>
      <c r="D1174" s="30" t="s">
        <v>50</v>
      </c>
      <c r="E1174" s="22" t="s">
        <v>51</v>
      </c>
      <c r="F1174" s="23">
        <f>143615+51500</f>
        <v>195115</v>
      </c>
    </row>
    <row r="1175" spans="1:6" s="92" customFormat="1" ht="17.100000000000001" customHeight="1" x14ac:dyDescent="0.55000000000000004">
      <c r="A1175" s="23">
        <f>374000+55000+510000+20000+300000+10000+400000</f>
        <v>1669000</v>
      </c>
      <c r="B1175" s="23">
        <f>8670+35781+199291.9+174658.67+39108+128317.8+93320+109272.52+110789.21-0.01+168922.08+263843.68-400</f>
        <v>1331574.8499999999</v>
      </c>
      <c r="C1175" s="29"/>
      <c r="D1175" s="30" t="s">
        <v>52</v>
      </c>
      <c r="E1175" s="22" t="s">
        <v>53</v>
      </c>
      <c r="F1175" s="23">
        <f>263843.68-400</f>
        <v>263443.68</v>
      </c>
    </row>
    <row r="1176" spans="1:6" s="92" customFormat="1" ht="17.100000000000001" customHeight="1" x14ac:dyDescent="0.55000000000000004">
      <c r="A1176" s="23">
        <f>271000+1100000</f>
        <v>1371000</v>
      </c>
      <c r="B1176" s="24">
        <f>115218.49+932+105203.83+119261.79+219683.14+120076.86+128423.2+123462.01+140341.5+293662.95+181687.17</f>
        <v>1547952.9399999997</v>
      </c>
      <c r="C1176" s="29"/>
      <c r="D1176" s="30" t="s">
        <v>54</v>
      </c>
      <c r="E1176" s="22" t="s">
        <v>55</v>
      </c>
      <c r="F1176" s="24">
        <v>181687.17</v>
      </c>
    </row>
    <row r="1177" spans="1:6" s="92" customFormat="1" ht="17.100000000000001" customHeight="1" x14ac:dyDescent="0.55000000000000004">
      <c r="A1177" s="23">
        <f>740000+105000+20000</f>
        <v>865000</v>
      </c>
      <c r="B1177" s="24">
        <f>217000+167000+338000+52500</f>
        <v>774500</v>
      </c>
      <c r="C1177" s="29"/>
      <c r="D1177" s="30" t="s">
        <v>25</v>
      </c>
      <c r="E1177" s="22" t="s">
        <v>56</v>
      </c>
      <c r="F1177" s="24">
        <v>52500</v>
      </c>
    </row>
    <row r="1178" spans="1:6" s="92" customFormat="1" ht="17.100000000000001" customHeight="1" x14ac:dyDescent="0.55000000000000004">
      <c r="A1178" s="23">
        <f>208100+100000+9600+256000</f>
        <v>573700</v>
      </c>
      <c r="B1178" s="24">
        <f>223683.23+51500+36000+34600+318000-51500</f>
        <v>612283.23</v>
      </c>
      <c r="C1178" s="29"/>
      <c r="D1178" s="30" t="s">
        <v>57</v>
      </c>
      <c r="E1178" s="22" t="s">
        <v>58</v>
      </c>
      <c r="F1178" s="24">
        <f>34600+318000-51500</f>
        <v>301100</v>
      </c>
    </row>
    <row r="1179" spans="1:6" s="92" customFormat="1" ht="17.100000000000001" customHeight="1" x14ac:dyDescent="0.55000000000000004">
      <c r="A1179" s="24">
        <v>4682500</v>
      </c>
      <c r="B1179" s="24">
        <f>1836000+884000+933000+162800+1171600</f>
        <v>4987400</v>
      </c>
      <c r="C1179" s="29"/>
      <c r="D1179" s="30" t="s">
        <v>59</v>
      </c>
      <c r="E1179" s="22" t="s">
        <v>60</v>
      </c>
      <c r="F1179" s="24">
        <f>162800+1171600</f>
        <v>1334400</v>
      </c>
    </row>
    <row r="1180" spans="1:6" s="92" customFormat="1" ht="17.100000000000001" customHeight="1" x14ac:dyDescent="0.55000000000000004">
      <c r="A1180" s="23">
        <v>20000</v>
      </c>
      <c r="B1180" s="23">
        <v>0</v>
      </c>
      <c r="C1180" s="29"/>
      <c r="D1180" s="30" t="s">
        <v>61</v>
      </c>
      <c r="E1180" s="22" t="s">
        <v>62</v>
      </c>
      <c r="F1180" s="23">
        <v>0</v>
      </c>
    </row>
    <row r="1181" spans="1:6" s="92" customFormat="1" ht="17.100000000000001" customHeight="1" x14ac:dyDescent="0.55000000000000004">
      <c r="A1181" s="17"/>
      <c r="B1181" s="17"/>
      <c r="C1181" s="29"/>
      <c r="D1181" s="31"/>
      <c r="E1181" s="27"/>
      <c r="F1181" s="17">
        <v>0</v>
      </c>
    </row>
    <row r="1182" spans="1:6" s="92" customFormat="1" ht="17.100000000000001" customHeight="1" thickBot="1" x14ac:dyDescent="0.6">
      <c r="A1182" s="28">
        <f>SUM(A1170:A1181)</f>
        <v>22000000</v>
      </c>
      <c r="B1182" s="28">
        <f>SUM(B1170:B1181)</f>
        <v>20660868.329999998</v>
      </c>
      <c r="C1182" s="45"/>
      <c r="D1182" s="46" t="s">
        <v>13</v>
      </c>
      <c r="E1182" s="28" t="s">
        <v>13</v>
      </c>
      <c r="F1182" s="28">
        <f>SUM(F1170:F1181)</f>
        <v>3108043.45</v>
      </c>
    </row>
    <row r="1183" spans="1:6" s="92" customFormat="1" ht="17.100000000000001" customHeight="1" thickTop="1" x14ac:dyDescent="0.55000000000000004">
      <c r="A1183" s="466"/>
      <c r="B1183" s="24">
        <v>0</v>
      </c>
      <c r="C1183" s="20"/>
      <c r="D1183" s="30" t="s">
        <v>321</v>
      </c>
      <c r="E1183" s="22"/>
      <c r="F1183" s="23">
        <v>0</v>
      </c>
    </row>
    <row r="1184" spans="1:6" s="92" customFormat="1" ht="17.100000000000001" customHeight="1" x14ac:dyDescent="0.55000000000000004">
      <c r="A1184" s="466"/>
      <c r="B1184" s="24">
        <f>672000+334100+332300+331100+656900+325800+325000+325000+324200+255900+66500-1300</f>
        <v>3947500</v>
      </c>
      <c r="C1184" s="20"/>
      <c r="D1184" s="30" t="s">
        <v>63</v>
      </c>
      <c r="E1184" s="22"/>
      <c r="F1184" s="23">
        <f>255900+66500-1300</f>
        <v>321100</v>
      </c>
    </row>
    <row r="1185" spans="1:6" s="92" customFormat="1" ht="17.100000000000001" customHeight="1" x14ac:dyDescent="0.55000000000000004">
      <c r="A1185" s="466"/>
      <c r="B1185" s="24">
        <f>91200+45600+45600+44800+44800+44800+44800+44800+44800+50400 +38400+6400</f>
        <v>546400</v>
      </c>
      <c r="C1185" s="20"/>
      <c r="D1185" s="30" t="s">
        <v>64</v>
      </c>
      <c r="E1185" s="22"/>
      <c r="F1185" s="23">
        <f>38400+6400</f>
        <v>44800</v>
      </c>
    </row>
    <row r="1186" spans="1:6" s="92" customFormat="1" ht="17.100000000000001" customHeight="1" x14ac:dyDescent="0.55000000000000004">
      <c r="A1186" s="413"/>
      <c r="B1186" s="24"/>
      <c r="C1186" s="29"/>
      <c r="D1186" s="30" t="s">
        <v>65</v>
      </c>
      <c r="E1186" s="22"/>
      <c r="F1186" s="24"/>
    </row>
    <row r="1187" spans="1:6" s="92" customFormat="1" ht="17.100000000000001" customHeight="1" x14ac:dyDescent="0.55000000000000004">
      <c r="A1187" s="466"/>
      <c r="B1187" s="45">
        <f>443000+458000+952000+395274+91239.18</f>
        <v>2339513.1800000002</v>
      </c>
      <c r="C1187" s="45"/>
      <c r="D1187" s="46" t="s">
        <v>33</v>
      </c>
      <c r="E1187" s="23"/>
      <c r="F1187" s="23"/>
    </row>
    <row r="1188" spans="1:6" s="92" customFormat="1" ht="17.100000000000001" customHeight="1" x14ac:dyDescent="0.55000000000000004">
      <c r="A1188" s="31"/>
      <c r="B1188" s="51">
        <f>961000+760000+59000+441000</f>
        <v>2221000</v>
      </c>
      <c r="C1188" s="29"/>
      <c r="D1188" s="30" t="s">
        <v>67</v>
      </c>
      <c r="E1188" s="22" t="s">
        <v>68</v>
      </c>
      <c r="F1188" s="23"/>
    </row>
    <row r="1189" spans="1:6" s="92" customFormat="1" ht="17.100000000000001" customHeight="1" x14ac:dyDescent="0.55000000000000004">
      <c r="A1189" s="31"/>
      <c r="B1189" s="51">
        <f>330000+23400+11340+32500</f>
        <v>397240</v>
      </c>
      <c r="C1189" s="29"/>
      <c r="D1189" s="31" t="s">
        <v>66</v>
      </c>
      <c r="E1189" s="27" t="s">
        <v>32</v>
      </c>
      <c r="F1189" s="17"/>
    </row>
    <row r="1190" spans="1:6" s="92" customFormat="1" ht="17.100000000000001" customHeight="1" x14ac:dyDescent="0.55000000000000004">
      <c r="A1190" s="31"/>
      <c r="B1190" s="51">
        <f>382100+381100+329700+80300</f>
        <v>1173200</v>
      </c>
      <c r="C1190" s="29"/>
      <c r="D1190" s="30" t="s">
        <v>69</v>
      </c>
      <c r="E1190" s="22" t="s">
        <v>36</v>
      </c>
      <c r="F1190" s="24">
        <v>80300</v>
      </c>
    </row>
    <row r="1191" spans="1:6" s="92" customFormat="1" ht="17.100000000000001" customHeight="1" x14ac:dyDescent="0.55000000000000004">
      <c r="A1191" s="31"/>
      <c r="B1191" s="51">
        <f>16513.35+21992.05+39555.32+5901.77+5419.83+22043.45+25449.27+10727.29+12814.43+11926.93+19830.31+29962.68</f>
        <v>222136.68</v>
      </c>
      <c r="C1191" s="29"/>
      <c r="D1191" s="30" t="s">
        <v>70</v>
      </c>
      <c r="E1191" s="22" t="s">
        <v>38</v>
      </c>
      <c r="F1191" s="24">
        <f>29962.68</f>
        <v>29962.68</v>
      </c>
    </row>
    <row r="1192" spans="1:6" s="92" customFormat="1" ht="17.100000000000001" customHeight="1" x14ac:dyDescent="0.55000000000000004">
      <c r="A1192" s="31"/>
      <c r="B1192" s="23">
        <f>11295.5+10709+12864.5+12039+11467+11467+11150+11141+11141+11467+11467</f>
        <v>126208</v>
      </c>
      <c r="C1192" s="19"/>
      <c r="D1192" s="30" t="s">
        <v>493</v>
      </c>
      <c r="E1192" s="53"/>
      <c r="F1192" s="24">
        <v>11467</v>
      </c>
    </row>
    <row r="1193" spans="1:6" s="92" customFormat="1" ht="17.100000000000001" customHeight="1" x14ac:dyDescent="0.55000000000000004">
      <c r="A1193" s="31"/>
      <c r="B1193" s="24"/>
      <c r="C1193" s="19"/>
      <c r="D1193" s="52" t="s">
        <v>105</v>
      </c>
      <c r="E1193" s="53"/>
      <c r="F1193" s="24"/>
    </row>
    <row r="1194" spans="1:6" s="92" customFormat="1" ht="17.100000000000001" customHeight="1" x14ac:dyDescent="0.55000000000000004">
      <c r="A1194" s="31"/>
      <c r="B1194" s="24"/>
      <c r="C1194" s="19"/>
      <c r="D1194" s="30" t="s">
        <v>71</v>
      </c>
      <c r="E1194" s="22"/>
      <c r="F1194" s="24"/>
    </row>
    <row r="1195" spans="1:6" s="92" customFormat="1" ht="17.100000000000001" customHeight="1" x14ac:dyDescent="0.55000000000000004">
      <c r="A1195" s="31"/>
      <c r="B1195" s="24">
        <f>308000+395000</f>
        <v>703000</v>
      </c>
      <c r="C1195" s="29"/>
      <c r="D1195" s="30" t="s">
        <v>102</v>
      </c>
      <c r="E1195" s="22"/>
      <c r="F1195" s="24"/>
    </row>
    <row r="1196" spans="1:6" s="92" customFormat="1" ht="17.100000000000001" customHeight="1" x14ac:dyDescent="0.55000000000000004">
      <c r="A1196" s="31"/>
      <c r="B1196" s="98">
        <f>61820+115526.5+61440+61440+61440+61440+122880+61440+61440+53660+12640</f>
        <v>735166.5</v>
      </c>
      <c r="C1196" s="394"/>
      <c r="D1196" s="30" t="s">
        <v>615</v>
      </c>
      <c r="E1196" s="384"/>
      <c r="F1196" s="98">
        <v>61440</v>
      </c>
    </row>
    <row r="1197" spans="1:6" s="92" customFormat="1" ht="17.100000000000001" customHeight="1" x14ac:dyDescent="0.55000000000000004">
      <c r="A1197" s="31"/>
      <c r="B1197" s="24">
        <f>5500+8600+129440+3315+4775+27928+9975+40+55810</f>
        <v>245383</v>
      </c>
      <c r="C1197" s="29"/>
      <c r="D1197" s="439" t="s">
        <v>529</v>
      </c>
      <c r="E1197" s="22"/>
      <c r="F1197" s="24">
        <v>55810</v>
      </c>
    </row>
    <row r="1198" spans="1:6" s="92" customFormat="1" ht="17.100000000000001" customHeight="1" x14ac:dyDescent="0.55000000000000004">
      <c r="A1198" s="31"/>
      <c r="B1198" s="24">
        <v>179250</v>
      </c>
      <c r="C1198" s="29"/>
      <c r="D1198" s="439" t="s">
        <v>535</v>
      </c>
      <c r="E1198" s="22"/>
      <c r="F1198" s="24"/>
    </row>
    <row r="1199" spans="1:6" s="92" customFormat="1" ht="17.100000000000001" customHeight="1" x14ac:dyDescent="0.55000000000000004">
      <c r="A1199" s="31"/>
      <c r="B1199" s="24">
        <v>165500</v>
      </c>
      <c r="C1199" s="29"/>
      <c r="D1199" s="439" t="s">
        <v>654</v>
      </c>
      <c r="E1199" s="22"/>
      <c r="F1199" s="24"/>
    </row>
    <row r="1200" spans="1:6" s="92" customFormat="1" ht="17.100000000000001" customHeight="1" x14ac:dyDescent="0.55000000000000004">
      <c r="A1200" s="31"/>
      <c r="B1200" s="24">
        <v>36600</v>
      </c>
      <c r="C1200" s="29"/>
      <c r="D1200" s="439" t="s">
        <v>655</v>
      </c>
      <c r="E1200" s="22"/>
      <c r="F1200" s="24"/>
    </row>
    <row r="1201" spans="1:6" s="92" customFormat="1" ht="17.100000000000001" customHeight="1" x14ac:dyDescent="0.55000000000000004">
      <c r="A1201" s="31"/>
      <c r="B1201" s="24">
        <v>57312</v>
      </c>
      <c r="C1201" s="29"/>
      <c r="D1201" s="439" t="s">
        <v>657</v>
      </c>
      <c r="E1201" s="22"/>
      <c r="F1201" s="24"/>
    </row>
    <row r="1202" spans="1:6" s="92" customFormat="1" ht="17.100000000000001" customHeight="1" x14ac:dyDescent="0.55000000000000004">
      <c r="A1202" s="31"/>
      <c r="B1202" s="24">
        <f>50292+204174</f>
        <v>254466</v>
      </c>
      <c r="C1202" s="29"/>
      <c r="D1202" s="439" t="s">
        <v>656</v>
      </c>
      <c r="E1202" s="22"/>
      <c r="F1202" s="24">
        <v>204174</v>
      </c>
    </row>
    <row r="1203" spans="1:6" s="92" customFormat="1" ht="17.100000000000001" customHeight="1" x14ac:dyDescent="0.55000000000000004">
      <c r="A1203" s="31"/>
      <c r="B1203" s="24">
        <v>122420</v>
      </c>
      <c r="C1203" s="29"/>
      <c r="D1203" s="439" t="s">
        <v>658</v>
      </c>
      <c r="E1203" s="22"/>
      <c r="F1203" s="24"/>
    </row>
    <row r="1204" spans="1:6" s="92" customFormat="1" ht="17.100000000000001" customHeight="1" x14ac:dyDescent="0.55000000000000004">
      <c r="A1204" s="31"/>
      <c r="B1204" s="24">
        <v>8000</v>
      </c>
      <c r="C1204" s="29"/>
      <c r="D1204" s="439" t="s">
        <v>663</v>
      </c>
      <c r="E1204" s="22"/>
      <c r="F1204" s="24">
        <v>8000</v>
      </c>
    </row>
    <row r="1205" spans="1:6" s="92" customFormat="1" ht="17.100000000000001" customHeight="1" x14ac:dyDescent="0.55000000000000004">
      <c r="A1205" s="31"/>
      <c r="B1205" s="24">
        <f>25131+410</f>
        <v>25541</v>
      </c>
      <c r="C1205" s="29"/>
      <c r="D1205" s="439" t="s">
        <v>528</v>
      </c>
      <c r="E1205" s="22"/>
      <c r="F1205" s="24"/>
    </row>
    <row r="1206" spans="1:6" s="92" customFormat="1" ht="17.100000000000001" customHeight="1" x14ac:dyDescent="0.55000000000000004">
      <c r="A1206" s="31"/>
      <c r="B1206" s="24">
        <f>1061725.64+1253700</f>
        <v>2315425.6399999997</v>
      </c>
      <c r="C1206" s="29"/>
      <c r="D1206" s="30" t="s">
        <v>644</v>
      </c>
      <c r="E1206" s="22"/>
      <c r="F1206" s="24"/>
    </row>
    <row r="1207" spans="1:6" s="92" customFormat="1" ht="17.100000000000001" customHeight="1" x14ac:dyDescent="0.55000000000000004">
      <c r="A1207" s="31"/>
      <c r="B1207" s="24">
        <f>1061725.64+1253700+1074600</f>
        <v>3390025.6399999997</v>
      </c>
      <c r="C1207" s="29"/>
      <c r="D1207" s="30" t="s">
        <v>621</v>
      </c>
      <c r="E1207" s="22"/>
      <c r="F1207" s="24"/>
    </row>
    <row r="1208" spans="1:6" s="92" customFormat="1" ht="17.100000000000001" customHeight="1" x14ac:dyDescent="0.55000000000000004">
      <c r="A1208" s="31"/>
      <c r="B1208" s="54">
        <f>1284600+2997400</f>
        <v>4282000</v>
      </c>
      <c r="C1208" s="66"/>
      <c r="D1208" s="552" t="s">
        <v>517</v>
      </c>
      <c r="E1208" s="553"/>
      <c r="F1208" s="55"/>
    </row>
    <row r="1209" spans="1:6" s="92" customFormat="1" ht="17.100000000000001" customHeight="1" x14ac:dyDescent="0.55000000000000004">
      <c r="A1209" s="31"/>
      <c r="B1209" s="37">
        <f>SUM(B1183:B1208)</f>
        <v>23493287.640000001</v>
      </c>
      <c r="C1209" s="823" t="s">
        <v>72</v>
      </c>
      <c r="D1209" s="823"/>
      <c r="E1209" s="56"/>
      <c r="F1209" s="37">
        <f>SUM(F1183:F1208)</f>
        <v>817053.67999999993</v>
      </c>
    </row>
    <row r="1210" spans="1:6" s="92" customFormat="1" ht="17.100000000000001" customHeight="1" x14ac:dyDescent="0.55000000000000004">
      <c r="A1210" s="31"/>
      <c r="B1210" s="57">
        <f>SUM(B1209+B1182)</f>
        <v>44154155.969999999</v>
      </c>
      <c r="C1210" s="824" t="s">
        <v>73</v>
      </c>
      <c r="D1210" s="823"/>
      <c r="E1210" s="56"/>
      <c r="F1210" s="37">
        <f>SUM(F1209+F1182)</f>
        <v>3925097.13</v>
      </c>
    </row>
    <row r="1211" spans="1:6" s="92" customFormat="1" ht="17.100000000000001" customHeight="1" x14ac:dyDescent="0.55000000000000004">
      <c r="A1211" s="31"/>
      <c r="B1211" s="37"/>
      <c r="C1211" s="824" t="s">
        <v>74</v>
      </c>
      <c r="D1211" s="823"/>
      <c r="E1211" s="56"/>
      <c r="F1211" s="37" t="s">
        <v>13</v>
      </c>
    </row>
    <row r="1212" spans="1:6" s="92" customFormat="1" ht="17.100000000000001" customHeight="1" x14ac:dyDescent="0.55000000000000004">
      <c r="A1212" s="31"/>
      <c r="B1212" s="58">
        <f>SUM(B1164-B1210)</f>
        <v>-4452698.4399999976</v>
      </c>
      <c r="C1212" s="824" t="s">
        <v>75</v>
      </c>
      <c r="D1212" s="823"/>
      <c r="E1212" s="56"/>
      <c r="F1212" s="59">
        <f>SUM(F1164-F1210)</f>
        <v>-2112150.1499999994</v>
      </c>
    </row>
    <row r="1213" spans="1:6" s="92" customFormat="1" ht="17.100000000000001" customHeight="1" x14ac:dyDescent="0.55000000000000004">
      <c r="A1213" s="31"/>
      <c r="B1213" s="60">
        <f>SUM(B1212+B1125)</f>
        <v>9214280.8700000029</v>
      </c>
      <c r="C1213" s="824"/>
      <c r="D1213" s="823"/>
      <c r="E1213" s="56"/>
      <c r="F1213" s="37">
        <f>SUM(F1212+F1125)</f>
        <v>9214280.870000001</v>
      </c>
    </row>
    <row r="1214" spans="1:6" s="92" customFormat="1" ht="5.25" customHeight="1" x14ac:dyDescent="0.5">
      <c r="A1214" s="61"/>
      <c r="B1214" s="61"/>
      <c r="C1214" s="597"/>
      <c r="D1214" s="597"/>
      <c r="E1214" s="62"/>
      <c r="F1214" s="61"/>
    </row>
    <row r="1215" spans="1:6" s="92" customFormat="1" ht="5.25" customHeight="1" x14ac:dyDescent="0.5">
      <c r="A1215" s="61"/>
      <c r="B1215" s="61"/>
      <c r="C1215" s="597"/>
      <c r="D1215" s="597"/>
      <c r="E1215" s="62"/>
      <c r="F1215" s="61"/>
    </row>
    <row r="1216" spans="1:6" s="92" customFormat="1" ht="5.25" customHeight="1" x14ac:dyDescent="0.5">
      <c r="A1216" s="61"/>
      <c r="B1216" s="61"/>
      <c r="C1216" s="601"/>
      <c r="D1216" s="601"/>
      <c r="E1216" s="62"/>
      <c r="F1216" s="61"/>
    </row>
    <row r="1217" spans="1:6" s="826" customFormat="1" ht="18.75" x14ac:dyDescent="0.45">
      <c r="A1217" s="825" t="s">
        <v>547</v>
      </c>
    </row>
    <row r="1218" spans="1:6" s="99" customFormat="1" ht="18.75" x14ac:dyDescent="0.45">
      <c r="A1218" s="599" t="s">
        <v>546</v>
      </c>
      <c r="B1218" s="599"/>
      <c r="C1218" s="599"/>
      <c r="D1218" s="599"/>
      <c r="E1218" s="599"/>
      <c r="F1218" s="599"/>
    </row>
    <row r="1219" spans="1:6" s="99" customFormat="1" ht="18.75" x14ac:dyDescent="0.45">
      <c r="A1219" s="599" t="s">
        <v>519</v>
      </c>
      <c r="B1219" s="599"/>
      <c r="C1219" s="599"/>
      <c r="D1219" s="599"/>
      <c r="E1219" s="599"/>
      <c r="F1219" s="599"/>
    </row>
    <row r="1220" spans="1:6" s="92" customFormat="1" ht="18.75" x14ac:dyDescent="0.45">
      <c r="A1220" s="599"/>
      <c r="B1220" s="599"/>
      <c r="C1220" s="599"/>
      <c r="D1220" s="599" t="s">
        <v>545</v>
      </c>
      <c r="E1220" s="599"/>
      <c r="F1220" s="599"/>
    </row>
  </sheetData>
  <mergeCells count="196">
    <mergeCell ref="C1167:D1167"/>
    <mergeCell ref="C1168:D1168"/>
    <mergeCell ref="C1209:D1209"/>
    <mergeCell ref="C1210:D1210"/>
    <mergeCell ref="C1211:D1211"/>
    <mergeCell ref="C1212:D1212"/>
    <mergeCell ref="C1213:D1213"/>
    <mergeCell ref="A1217:XFD1217"/>
    <mergeCell ref="A1117:F1117"/>
    <mergeCell ref="A1118:F1118"/>
    <mergeCell ref="A1120:F1120"/>
    <mergeCell ref="A1122:B1122"/>
    <mergeCell ref="C1122:D1122"/>
    <mergeCell ref="C1124:D1124"/>
    <mergeCell ref="C1163:D1163"/>
    <mergeCell ref="A1166:B1166"/>
    <mergeCell ref="C1166:D1166"/>
    <mergeCell ref="C762:D762"/>
    <mergeCell ref="C763:D763"/>
    <mergeCell ref="C764:D764"/>
    <mergeCell ref="C765:D765"/>
    <mergeCell ref="A677:F677"/>
    <mergeCell ref="A679:F679"/>
    <mergeCell ref="A681:B681"/>
    <mergeCell ref="C681:D681"/>
    <mergeCell ref="C683:D683"/>
    <mergeCell ref="C719:D719"/>
    <mergeCell ref="C725:D725"/>
    <mergeCell ref="C726:D726"/>
    <mergeCell ref="A724:B724"/>
    <mergeCell ref="C724:D724"/>
    <mergeCell ref="C761:D761"/>
    <mergeCell ref="A767:XFD767"/>
    <mergeCell ref="C565:D565"/>
    <mergeCell ref="C566:D566"/>
    <mergeCell ref="C567:D567"/>
    <mergeCell ref="C274:D274"/>
    <mergeCell ref="C275:D275"/>
    <mergeCell ref="A277:XFD277"/>
    <mergeCell ref="C471:D471"/>
    <mergeCell ref="A473:XFD473"/>
    <mergeCell ref="A432:B432"/>
    <mergeCell ref="C432:D432"/>
    <mergeCell ref="C433:D433"/>
    <mergeCell ref="C434:D434"/>
    <mergeCell ref="C467:D467"/>
    <mergeCell ref="A384:F384"/>
    <mergeCell ref="A385:F385"/>
    <mergeCell ref="C468:D468"/>
    <mergeCell ref="C469:D469"/>
    <mergeCell ref="C470:D470"/>
    <mergeCell ref="A387:F387"/>
    <mergeCell ref="A389:B389"/>
    <mergeCell ref="C389:D389"/>
    <mergeCell ref="C391:D391"/>
    <mergeCell ref="C427:D427"/>
    <mergeCell ref="C193:D193"/>
    <mergeCell ref="C229:D229"/>
    <mergeCell ref="A236:B236"/>
    <mergeCell ref="C236:D236"/>
    <mergeCell ref="C237:D237"/>
    <mergeCell ref="C238:D238"/>
    <mergeCell ref="C271:D271"/>
    <mergeCell ref="C272:D272"/>
    <mergeCell ref="C273:D273"/>
    <mergeCell ref="C173:D173"/>
    <mergeCell ref="C174:D174"/>
    <mergeCell ref="C175:D175"/>
    <mergeCell ref="C176:D176"/>
    <mergeCell ref="C177:D177"/>
    <mergeCell ref="A179:XFD179"/>
    <mergeCell ref="A189:F189"/>
    <mergeCell ref="A191:B191"/>
    <mergeCell ref="C191:D191"/>
    <mergeCell ref="A92:F92"/>
    <mergeCell ref="A94:B94"/>
    <mergeCell ref="C94:D94"/>
    <mergeCell ref="C96:D96"/>
    <mergeCell ref="C132:D132"/>
    <mergeCell ref="A139:B139"/>
    <mergeCell ref="C139:D139"/>
    <mergeCell ref="C140:D140"/>
    <mergeCell ref="C141:D141"/>
    <mergeCell ref="C77:D77"/>
    <mergeCell ref="C78:D78"/>
    <mergeCell ref="C79:D79"/>
    <mergeCell ref="C80:D80"/>
    <mergeCell ref="A82:XFD82"/>
    <mergeCell ref="C76:D76"/>
    <mergeCell ref="A4:F4"/>
    <mergeCell ref="A6:B6"/>
    <mergeCell ref="C6:D6"/>
    <mergeCell ref="C8:D8"/>
    <mergeCell ref="C38:D38"/>
    <mergeCell ref="A41:B41"/>
    <mergeCell ref="C41:D41"/>
    <mergeCell ref="C42:D42"/>
    <mergeCell ref="C43:D43"/>
    <mergeCell ref="C335:D335"/>
    <mergeCell ref="C336:D336"/>
    <mergeCell ref="C369:D369"/>
    <mergeCell ref="A287:F287"/>
    <mergeCell ref="A289:B289"/>
    <mergeCell ref="C289:D289"/>
    <mergeCell ref="C291:D291"/>
    <mergeCell ref="C327:D327"/>
    <mergeCell ref="A578:F578"/>
    <mergeCell ref="A334:B334"/>
    <mergeCell ref="C334:D334"/>
    <mergeCell ref="A579:F579"/>
    <mergeCell ref="A581:F581"/>
    <mergeCell ref="A583:B583"/>
    <mergeCell ref="C583:D583"/>
    <mergeCell ref="C370:D370"/>
    <mergeCell ref="C371:D371"/>
    <mergeCell ref="C372:D372"/>
    <mergeCell ref="C373:D373"/>
    <mergeCell ref="A375:XFD375"/>
    <mergeCell ref="A481:F481"/>
    <mergeCell ref="A482:F482"/>
    <mergeCell ref="A484:F484"/>
    <mergeCell ref="A486:B486"/>
    <mergeCell ref="C486:D486"/>
    <mergeCell ref="C488:D488"/>
    <mergeCell ref="C524:D524"/>
    <mergeCell ref="A528:B528"/>
    <mergeCell ref="C528:D528"/>
    <mergeCell ref="C529:D529"/>
    <mergeCell ref="C568:D568"/>
    <mergeCell ref="A570:XFD570"/>
    <mergeCell ref="C530:D530"/>
    <mergeCell ref="C564:D564"/>
    <mergeCell ref="A676:F676"/>
    <mergeCell ref="C667:D667"/>
    <mergeCell ref="A669:XFD669"/>
    <mergeCell ref="C628:D628"/>
    <mergeCell ref="C663:D663"/>
    <mergeCell ref="C664:D664"/>
    <mergeCell ref="C665:D665"/>
    <mergeCell ref="C666:D666"/>
    <mergeCell ref="C585:D585"/>
    <mergeCell ref="C621:D621"/>
    <mergeCell ref="A626:B626"/>
    <mergeCell ref="C626:D626"/>
    <mergeCell ref="C627:D627"/>
    <mergeCell ref="C823:D823"/>
    <mergeCell ref="C824:D824"/>
    <mergeCell ref="C860:D860"/>
    <mergeCell ref="C861:D861"/>
    <mergeCell ref="C862:D862"/>
    <mergeCell ref="C863:D863"/>
    <mergeCell ref="C864:D864"/>
    <mergeCell ref="A867:XFD867"/>
    <mergeCell ref="A774:F774"/>
    <mergeCell ref="A775:F775"/>
    <mergeCell ref="A777:F777"/>
    <mergeCell ref="A779:B779"/>
    <mergeCell ref="C779:D779"/>
    <mergeCell ref="C781:D781"/>
    <mergeCell ref="C818:D818"/>
    <mergeCell ref="A822:B822"/>
    <mergeCell ref="C822:D822"/>
    <mergeCell ref="C922:D922"/>
    <mergeCell ref="C923:D923"/>
    <mergeCell ref="C959:D959"/>
    <mergeCell ref="C960:D960"/>
    <mergeCell ref="C961:D961"/>
    <mergeCell ref="C962:D962"/>
    <mergeCell ref="C963:D963"/>
    <mergeCell ref="A965:XFD965"/>
    <mergeCell ref="A873:F873"/>
    <mergeCell ref="A874:F874"/>
    <mergeCell ref="A876:F876"/>
    <mergeCell ref="A878:B878"/>
    <mergeCell ref="C878:D878"/>
    <mergeCell ref="C880:D880"/>
    <mergeCell ref="C918:D918"/>
    <mergeCell ref="A921:B921"/>
    <mergeCell ref="C921:D921"/>
    <mergeCell ref="C1021:D1021"/>
    <mergeCell ref="C1022:D1022"/>
    <mergeCell ref="C1062:D1062"/>
    <mergeCell ref="C1063:D1063"/>
    <mergeCell ref="C1064:D1064"/>
    <mergeCell ref="C1065:D1065"/>
    <mergeCell ref="C1066:D1066"/>
    <mergeCell ref="A1072:XFD1072"/>
    <mergeCell ref="A971:F971"/>
    <mergeCell ref="A972:F972"/>
    <mergeCell ref="A974:F974"/>
    <mergeCell ref="A976:B976"/>
    <mergeCell ref="C976:D976"/>
    <mergeCell ref="C978:D978"/>
    <mergeCell ref="C1015:D1015"/>
    <mergeCell ref="A1020:B1020"/>
    <mergeCell ref="C1020:D1020"/>
  </mergeCells>
  <pageMargins left="0.7" right="0.7" top="0.52" bottom="0.49" header="0.3" footer="0.3"/>
  <pageSetup paperSize="9" scale="81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680"/>
  <sheetViews>
    <sheetView view="pageBreakPreview" topLeftCell="A611" zoomScaleSheetLayoutView="100" workbookViewId="0">
      <selection activeCell="E647" sqref="E647"/>
    </sheetView>
  </sheetViews>
  <sheetFormatPr defaultRowHeight="14.25" x14ac:dyDescent="0.2"/>
  <cols>
    <col min="1" max="1" width="56.375" customWidth="1"/>
    <col min="3" max="3" width="17.875" customWidth="1"/>
    <col min="4" max="4" width="19.125" customWidth="1"/>
    <col min="6" max="6" width="11" bestFit="1" customWidth="1"/>
  </cols>
  <sheetData>
    <row r="1" spans="1:40" ht="24" x14ac:dyDescent="0.55000000000000004">
      <c r="A1" s="839" t="s">
        <v>76</v>
      </c>
      <c r="B1" s="839"/>
      <c r="C1" s="839"/>
      <c r="D1" s="839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24" x14ac:dyDescent="0.55000000000000004">
      <c r="A2" s="839" t="s">
        <v>77</v>
      </c>
      <c r="B2" s="839"/>
      <c r="C2" s="839"/>
      <c r="D2" s="839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24" x14ac:dyDescent="0.55000000000000004">
      <c r="A3" s="840" t="s">
        <v>590</v>
      </c>
      <c r="B3" s="840"/>
      <c r="C3" s="840"/>
      <c r="D3" s="84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22.5" x14ac:dyDescent="0.45">
      <c r="A4" s="841" t="s">
        <v>10</v>
      </c>
      <c r="B4" s="843" t="s">
        <v>78</v>
      </c>
      <c r="C4" s="845" t="s">
        <v>79</v>
      </c>
      <c r="D4" s="845" t="s">
        <v>80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22.5" x14ac:dyDescent="0.45">
      <c r="A5" s="842"/>
      <c r="B5" s="844"/>
      <c r="C5" s="846"/>
      <c r="D5" s="846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</row>
    <row r="6" spans="1:40" ht="24" x14ac:dyDescent="0.55000000000000004">
      <c r="A6" s="377" t="s">
        <v>42</v>
      </c>
      <c r="B6" s="378"/>
      <c r="C6" s="379"/>
      <c r="D6" s="380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24" x14ac:dyDescent="0.55000000000000004">
      <c r="A7" s="74" t="s">
        <v>86</v>
      </c>
      <c r="B7" s="75" t="s">
        <v>82</v>
      </c>
      <c r="C7" s="379">
        <v>6143127.54</v>
      </c>
      <c r="D7" s="380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</row>
    <row r="8" spans="1:40" ht="24" x14ac:dyDescent="0.55000000000000004">
      <c r="A8" s="74" t="s">
        <v>83</v>
      </c>
      <c r="B8" s="75" t="s">
        <v>82</v>
      </c>
      <c r="C8" s="90">
        <v>7092796</v>
      </c>
      <c r="D8" s="380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</row>
    <row r="9" spans="1:40" ht="24" x14ac:dyDescent="0.55000000000000004">
      <c r="A9" s="74" t="s">
        <v>84</v>
      </c>
      <c r="B9" s="75" t="s">
        <v>85</v>
      </c>
      <c r="C9" s="90">
        <v>6421.6</v>
      </c>
      <c r="D9" s="77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0" ht="24" x14ac:dyDescent="0.55000000000000004">
      <c r="A10" s="74" t="s">
        <v>81</v>
      </c>
      <c r="B10" s="75" t="s">
        <v>82</v>
      </c>
      <c r="C10" s="90">
        <v>3070.05</v>
      </c>
      <c r="D10" s="77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</row>
    <row r="11" spans="1:40" ht="24" x14ac:dyDescent="0.55000000000000004">
      <c r="A11" s="74" t="s">
        <v>503</v>
      </c>
      <c r="B11" s="75"/>
      <c r="C11" s="90">
        <v>3</v>
      </c>
      <c r="D11" s="77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</row>
    <row r="12" spans="1:40" ht="24" x14ac:dyDescent="0.55000000000000004">
      <c r="A12" s="74" t="s">
        <v>104</v>
      </c>
      <c r="B12" s="75"/>
      <c r="C12" s="91"/>
      <c r="D12" s="77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</row>
    <row r="13" spans="1:40" ht="24" x14ac:dyDescent="0.55000000000000004">
      <c r="A13" s="74" t="s">
        <v>40</v>
      </c>
      <c r="B13" s="75" t="s">
        <v>87</v>
      </c>
      <c r="C13" s="78"/>
      <c r="D13" s="77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</row>
    <row r="14" spans="1:40" ht="24" x14ac:dyDescent="0.55000000000000004">
      <c r="A14" s="74" t="s">
        <v>88</v>
      </c>
      <c r="B14" s="75"/>
      <c r="C14" s="91">
        <v>941964.5</v>
      </c>
      <c r="D14" s="77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</row>
    <row r="15" spans="1:40" ht="24" x14ac:dyDescent="0.55000000000000004">
      <c r="A15" s="74" t="s">
        <v>89</v>
      </c>
      <c r="B15" s="75" t="s">
        <v>36</v>
      </c>
      <c r="C15" s="91">
        <v>439880</v>
      </c>
      <c r="D15" s="77"/>
      <c r="E15" s="73"/>
      <c r="F15" s="73"/>
    </row>
    <row r="16" spans="1:40" ht="24" x14ac:dyDescent="0.55000000000000004">
      <c r="A16" s="74" t="s">
        <v>90</v>
      </c>
      <c r="B16" s="75"/>
      <c r="C16" s="91">
        <v>0</v>
      </c>
      <c r="D16" s="77"/>
      <c r="E16" s="73"/>
      <c r="F16" s="73"/>
    </row>
    <row r="17" spans="1:6" ht="24" x14ac:dyDescent="0.55000000000000004">
      <c r="A17" s="74" t="s">
        <v>29</v>
      </c>
      <c r="B17" s="75" t="s">
        <v>91</v>
      </c>
      <c r="C17" s="91">
        <v>25516.05</v>
      </c>
      <c r="D17" s="77"/>
      <c r="E17" s="73"/>
      <c r="F17" s="73"/>
    </row>
    <row r="18" spans="1:6" ht="24" x14ac:dyDescent="0.55000000000000004">
      <c r="A18" s="74" t="s">
        <v>30</v>
      </c>
      <c r="B18" s="75" t="s">
        <v>92</v>
      </c>
      <c r="C18" s="91">
        <v>57680.95</v>
      </c>
      <c r="D18" s="77"/>
      <c r="E18" s="73"/>
      <c r="F18" s="73"/>
    </row>
    <row r="19" spans="1:6" ht="24" x14ac:dyDescent="0.55000000000000004">
      <c r="A19" s="74" t="s">
        <v>41</v>
      </c>
      <c r="B19" s="75" t="s">
        <v>45</v>
      </c>
      <c r="C19" s="90">
        <v>2500</v>
      </c>
      <c r="D19" s="77"/>
      <c r="E19" s="73"/>
      <c r="F19" s="73"/>
    </row>
    <row r="20" spans="1:6" ht="24" x14ac:dyDescent="0.55000000000000004">
      <c r="A20" s="74" t="s">
        <v>93</v>
      </c>
      <c r="B20" s="75"/>
      <c r="C20" s="90">
        <v>0</v>
      </c>
      <c r="D20" s="77"/>
      <c r="E20" s="73"/>
      <c r="F20" s="73"/>
    </row>
    <row r="21" spans="1:6" ht="24" x14ac:dyDescent="0.55000000000000004">
      <c r="A21" s="74" t="s">
        <v>94</v>
      </c>
      <c r="B21" s="75"/>
      <c r="C21" s="90">
        <v>0</v>
      </c>
      <c r="D21" s="77"/>
      <c r="E21" s="73"/>
      <c r="F21" s="73"/>
    </row>
    <row r="22" spans="1:6" ht="24" x14ac:dyDescent="0.55000000000000004">
      <c r="A22" s="74" t="s">
        <v>46</v>
      </c>
      <c r="B22" s="75" t="s">
        <v>95</v>
      </c>
      <c r="C22" s="90">
        <v>218720</v>
      </c>
      <c r="D22" s="77"/>
      <c r="E22" s="73"/>
      <c r="F22" s="73"/>
    </row>
    <row r="23" spans="1:6" ht="24" x14ac:dyDescent="0.55000000000000004">
      <c r="A23" s="74" t="s">
        <v>48</v>
      </c>
      <c r="B23" s="75" t="s">
        <v>47</v>
      </c>
      <c r="C23" s="90">
        <v>393371.37</v>
      </c>
      <c r="D23" s="77"/>
      <c r="E23" s="73"/>
      <c r="F23" s="73"/>
    </row>
    <row r="24" spans="1:6" ht="24" x14ac:dyDescent="0.55000000000000004">
      <c r="A24" s="74" t="s">
        <v>592</v>
      </c>
      <c r="B24" s="75"/>
      <c r="C24" s="90">
        <v>0</v>
      </c>
      <c r="D24" s="77"/>
      <c r="E24" s="73"/>
      <c r="F24" s="73"/>
    </row>
    <row r="25" spans="1:6" ht="24" x14ac:dyDescent="0.55000000000000004">
      <c r="A25" s="74" t="s">
        <v>49</v>
      </c>
      <c r="B25" s="75" t="s">
        <v>51</v>
      </c>
      <c r="C25" s="90">
        <v>3500</v>
      </c>
      <c r="D25" s="77"/>
      <c r="E25" s="73"/>
      <c r="F25" s="73"/>
    </row>
    <row r="26" spans="1:6" ht="24" x14ac:dyDescent="0.55000000000000004">
      <c r="A26" s="74" t="s">
        <v>50</v>
      </c>
      <c r="B26" s="75" t="s">
        <v>53</v>
      </c>
      <c r="C26" s="90">
        <v>126305</v>
      </c>
      <c r="D26" s="77"/>
      <c r="E26" s="73"/>
      <c r="F26" s="73"/>
    </row>
    <row r="27" spans="1:6" ht="24" x14ac:dyDescent="0.55000000000000004">
      <c r="A27" s="74" t="s">
        <v>52</v>
      </c>
      <c r="B27" s="75" t="s">
        <v>55</v>
      </c>
      <c r="C27" s="78">
        <v>0</v>
      </c>
      <c r="D27" s="77"/>
      <c r="E27" s="73"/>
      <c r="F27" s="73"/>
    </row>
    <row r="28" spans="1:6" ht="24" x14ac:dyDescent="0.55000000000000004">
      <c r="A28" s="74" t="s">
        <v>54</v>
      </c>
      <c r="B28" s="75" t="s">
        <v>56</v>
      </c>
      <c r="C28" s="78">
        <v>115218.49</v>
      </c>
      <c r="D28" s="77"/>
      <c r="E28" s="73"/>
      <c r="F28" s="79"/>
    </row>
    <row r="29" spans="1:6" ht="24" x14ac:dyDescent="0.55000000000000004">
      <c r="A29" s="74" t="s">
        <v>25</v>
      </c>
      <c r="B29" s="75" t="s">
        <v>96</v>
      </c>
      <c r="C29" s="80">
        <v>0</v>
      </c>
      <c r="D29" s="77"/>
      <c r="E29" s="73"/>
      <c r="F29" s="73"/>
    </row>
    <row r="30" spans="1:6" ht="24" x14ac:dyDescent="0.55000000000000004">
      <c r="A30" s="74" t="s">
        <v>57</v>
      </c>
      <c r="B30" s="75" t="s">
        <v>58</v>
      </c>
      <c r="C30" s="80">
        <v>0</v>
      </c>
      <c r="D30" s="77"/>
      <c r="E30" s="73"/>
      <c r="F30" s="73"/>
    </row>
    <row r="31" spans="1:6" ht="24" x14ac:dyDescent="0.55000000000000004">
      <c r="A31" s="74" t="s">
        <v>59</v>
      </c>
      <c r="B31" s="75" t="s">
        <v>60</v>
      </c>
      <c r="C31" s="78">
        <v>0</v>
      </c>
      <c r="D31" s="77"/>
      <c r="E31" s="73"/>
      <c r="F31" s="73"/>
    </row>
    <row r="32" spans="1:6" ht="24" x14ac:dyDescent="0.55000000000000004">
      <c r="A32" s="74" t="s">
        <v>97</v>
      </c>
      <c r="B32" s="75"/>
      <c r="C32" s="78">
        <v>0</v>
      </c>
      <c r="D32" s="77"/>
      <c r="E32" s="73"/>
      <c r="F32" s="73"/>
    </row>
    <row r="33" spans="1:6" ht="24" x14ac:dyDescent="0.55000000000000004">
      <c r="A33" s="74" t="s">
        <v>591</v>
      </c>
      <c r="B33" s="75"/>
      <c r="C33" s="78">
        <v>1284600</v>
      </c>
      <c r="D33" s="77"/>
      <c r="E33" s="73"/>
      <c r="F33" s="73"/>
    </row>
    <row r="34" spans="1:6" ht="24" x14ac:dyDescent="0.55000000000000004">
      <c r="A34" s="74" t="s">
        <v>98</v>
      </c>
      <c r="B34" s="75" t="s">
        <v>99</v>
      </c>
      <c r="C34" s="76"/>
      <c r="D34" s="77">
        <v>998683.22</v>
      </c>
      <c r="E34" s="73"/>
      <c r="F34" s="73"/>
    </row>
    <row r="35" spans="1:6" ht="24" x14ac:dyDescent="0.55000000000000004">
      <c r="A35" s="74" t="s">
        <v>100</v>
      </c>
      <c r="B35" s="75"/>
      <c r="C35" s="76"/>
      <c r="D35" s="77">
        <v>1261300</v>
      </c>
      <c r="E35" s="73"/>
      <c r="F35" s="73"/>
    </row>
    <row r="36" spans="1:6" ht="24" x14ac:dyDescent="0.55000000000000004">
      <c r="A36" s="74" t="s">
        <v>105</v>
      </c>
      <c r="B36" s="75"/>
      <c r="C36" s="76"/>
      <c r="D36" s="77">
        <v>0</v>
      </c>
      <c r="E36" s="73"/>
      <c r="F36" s="73"/>
    </row>
    <row r="37" spans="1:6" ht="24" x14ac:dyDescent="0.55000000000000004">
      <c r="A37" s="74" t="s">
        <v>71</v>
      </c>
      <c r="B37" s="75"/>
      <c r="C37" s="76"/>
      <c r="D37" s="77">
        <v>0</v>
      </c>
      <c r="E37" s="73"/>
      <c r="F37" s="73"/>
    </row>
    <row r="38" spans="1:6" ht="24" x14ac:dyDescent="0.55000000000000004">
      <c r="A38" s="74" t="s">
        <v>101</v>
      </c>
      <c r="B38" s="75" t="s">
        <v>38</v>
      </c>
      <c r="C38" s="76"/>
      <c r="D38" s="81">
        <f>521855+22953.13+6314.17+4.08+28452.52+10064+165500+36600+16500</f>
        <v>808242.9</v>
      </c>
      <c r="E38" s="73"/>
      <c r="F38" s="73"/>
    </row>
    <row r="39" spans="1:6" ht="24" x14ac:dyDescent="0.55000000000000004">
      <c r="A39" s="74" t="s">
        <v>33</v>
      </c>
      <c r="B39" s="75" t="s">
        <v>34</v>
      </c>
      <c r="C39" s="76"/>
      <c r="D39" s="81">
        <v>5045797.07</v>
      </c>
      <c r="E39" s="73"/>
      <c r="F39" s="73"/>
    </row>
    <row r="40" spans="1:6" ht="24" x14ac:dyDescent="0.55000000000000004">
      <c r="A40" s="74" t="s">
        <v>102</v>
      </c>
      <c r="B40" s="75" t="s">
        <v>103</v>
      </c>
      <c r="C40" s="76"/>
      <c r="D40" s="77">
        <v>7382869.3600000003</v>
      </c>
      <c r="E40" s="73"/>
      <c r="F40" s="73"/>
    </row>
    <row r="41" spans="1:6" ht="24" x14ac:dyDescent="0.55000000000000004">
      <c r="A41" s="74" t="s">
        <v>594</v>
      </c>
      <c r="B41" s="75"/>
      <c r="C41" s="76"/>
      <c r="D41" s="83">
        <v>0</v>
      </c>
      <c r="E41" s="73"/>
      <c r="F41" s="73"/>
    </row>
    <row r="42" spans="1:6" ht="24" x14ac:dyDescent="0.55000000000000004">
      <c r="A42" s="74" t="s">
        <v>595</v>
      </c>
      <c r="B42" s="75"/>
      <c r="C42" s="82"/>
      <c r="D42" s="83">
        <v>0</v>
      </c>
      <c r="E42" s="73"/>
      <c r="F42" s="73"/>
    </row>
    <row r="43" spans="1:6" ht="24" x14ac:dyDescent="0.55000000000000004">
      <c r="A43" s="74" t="s">
        <v>596</v>
      </c>
      <c r="B43" s="84"/>
      <c r="C43" s="82"/>
      <c r="D43" s="83">
        <v>21800</v>
      </c>
      <c r="E43" s="73"/>
      <c r="F43" s="73"/>
    </row>
    <row r="44" spans="1:6" ht="24" x14ac:dyDescent="0.55000000000000004">
      <c r="A44" s="74" t="s">
        <v>597</v>
      </c>
      <c r="B44" s="84"/>
      <c r="C44" s="82"/>
      <c r="D44" s="83">
        <v>1090</v>
      </c>
      <c r="E44" s="73"/>
      <c r="F44" s="73"/>
    </row>
    <row r="45" spans="1:6" ht="24" x14ac:dyDescent="0.55000000000000004">
      <c r="A45" s="74" t="s">
        <v>593</v>
      </c>
      <c r="B45" s="84"/>
      <c r="C45" s="82"/>
      <c r="D45" s="83">
        <v>1284600</v>
      </c>
      <c r="E45" s="73"/>
      <c r="F45" s="73"/>
    </row>
    <row r="46" spans="1:6" ht="24" x14ac:dyDescent="0.55000000000000004">
      <c r="A46" s="386" t="s">
        <v>543</v>
      </c>
      <c r="B46" s="387"/>
      <c r="C46" s="535"/>
      <c r="D46" s="536">
        <v>50292</v>
      </c>
      <c r="E46" s="73"/>
      <c r="F46" s="73"/>
    </row>
    <row r="47" spans="1:6" ht="24.75" thickBot="1" x14ac:dyDescent="0.6">
      <c r="A47" s="85"/>
      <c r="B47" s="385"/>
      <c r="C47" s="86">
        <f>SUM(C6:C46)</f>
        <v>16854674.549999997</v>
      </c>
      <c r="D47" s="87">
        <f>SUM(D6:D46)</f>
        <v>16854674.550000001</v>
      </c>
      <c r="E47" s="85"/>
      <c r="F47" s="381"/>
    </row>
    <row r="48" spans="1:6" ht="18" customHeight="1" thickTop="1" x14ac:dyDescent="0.55000000000000004">
      <c r="A48" s="85"/>
      <c r="B48" s="533"/>
      <c r="C48" s="534"/>
      <c r="D48" s="534"/>
      <c r="E48" s="85"/>
      <c r="F48" s="381"/>
    </row>
    <row r="49" spans="1:40" ht="18.75" x14ac:dyDescent="0.45">
      <c r="A49" s="376" t="s">
        <v>599</v>
      </c>
      <c r="B49" s="88"/>
      <c r="C49" s="88"/>
      <c r="D49" s="88"/>
      <c r="E49" s="376"/>
      <c r="F49" s="376"/>
    </row>
    <row r="50" spans="1:40" ht="18.75" x14ac:dyDescent="0.45">
      <c r="A50" s="532" t="s">
        <v>601</v>
      </c>
      <c r="B50" s="376"/>
      <c r="C50" s="376"/>
      <c r="D50" s="376"/>
      <c r="E50" s="376"/>
      <c r="F50" s="376"/>
    </row>
    <row r="51" spans="1:40" ht="18.75" x14ac:dyDescent="0.45">
      <c r="A51" s="376" t="s">
        <v>598</v>
      </c>
      <c r="B51" s="376"/>
      <c r="C51" s="376"/>
      <c r="D51" s="376"/>
    </row>
    <row r="52" spans="1:40" ht="18.75" x14ac:dyDescent="0.45">
      <c r="A52" s="376" t="s">
        <v>600</v>
      </c>
    </row>
    <row r="53" spans="1:40" ht="24" x14ac:dyDescent="0.55000000000000004">
      <c r="A53" s="839" t="s">
        <v>76</v>
      </c>
      <c r="B53" s="839"/>
      <c r="C53" s="839"/>
      <c r="D53" s="83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</row>
    <row r="54" spans="1:40" ht="24" x14ac:dyDescent="0.55000000000000004">
      <c r="A54" s="839" t="s">
        <v>77</v>
      </c>
      <c r="B54" s="839"/>
      <c r="C54" s="839"/>
      <c r="D54" s="83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</row>
    <row r="55" spans="1:40" ht="24" x14ac:dyDescent="0.55000000000000004">
      <c r="A55" s="840" t="s">
        <v>602</v>
      </c>
      <c r="B55" s="840"/>
      <c r="C55" s="840"/>
      <c r="D55" s="840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</row>
    <row r="56" spans="1:40" ht="22.5" x14ac:dyDescent="0.45">
      <c r="A56" s="841" t="s">
        <v>10</v>
      </c>
      <c r="B56" s="843" t="s">
        <v>78</v>
      </c>
      <c r="C56" s="845" t="s">
        <v>79</v>
      </c>
      <c r="D56" s="845" t="s">
        <v>80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</row>
    <row r="57" spans="1:40" ht="22.5" x14ac:dyDescent="0.45">
      <c r="A57" s="842"/>
      <c r="B57" s="844"/>
      <c r="C57" s="846"/>
      <c r="D57" s="846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</row>
    <row r="58" spans="1:40" ht="18.95" customHeight="1" x14ac:dyDescent="0.55000000000000004">
      <c r="A58" s="377" t="s">
        <v>42</v>
      </c>
      <c r="B58" s="378"/>
      <c r="C58" s="379">
        <v>169</v>
      </c>
      <c r="D58" s="380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</row>
    <row r="59" spans="1:40" ht="18.95" customHeight="1" x14ac:dyDescent="0.55000000000000004">
      <c r="A59" s="74" t="s">
        <v>86</v>
      </c>
      <c r="B59" s="75" t="s">
        <v>82</v>
      </c>
      <c r="C59" s="379">
        <v>5969279.8700000001</v>
      </c>
      <c r="D59" s="380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</row>
    <row r="60" spans="1:40" ht="18.95" customHeight="1" x14ac:dyDescent="0.55000000000000004">
      <c r="A60" s="74" t="s">
        <v>83</v>
      </c>
      <c r="B60" s="75" t="s">
        <v>82</v>
      </c>
      <c r="C60" s="90">
        <v>8525258.1899999995</v>
      </c>
      <c r="D60" s="380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</row>
    <row r="61" spans="1:40" ht="18.95" customHeight="1" x14ac:dyDescent="0.55000000000000004">
      <c r="A61" s="74" t="s">
        <v>84</v>
      </c>
      <c r="B61" s="75" t="s">
        <v>85</v>
      </c>
      <c r="C61" s="90">
        <v>6421.6</v>
      </c>
      <c r="D61" s="77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</row>
    <row r="62" spans="1:40" ht="18.95" customHeight="1" x14ac:dyDescent="0.55000000000000004">
      <c r="A62" s="74" t="s">
        <v>81</v>
      </c>
      <c r="B62" s="75" t="s">
        <v>82</v>
      </c>
      <c r="C62" s="90">
        <v>3070.05</v>
      </c>
      <c r="D62" s="77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</row>
    <row r="63" spans="1:40" ht="18.95" customHeight="1" x14ac:dyDescent="0.55000000000000004">
      <c r="A63" s="74" t="s">
        <v>503</v>
      </c>
      <c r="B63" s="75"/>
      <c r="C63" s="90">
        <v>3</v>
      </c>
      <c r="D63" s="77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</row>
    <row r="64" spans="1:40" ht="18.95" customHeight="1" x14ac:dyDescent="0.55000000000000004">
      <c r="A64" s="74" t="s">
        <v>104</v>
      </c>
      <c r="B64" s="75"/>
      <c r="C64" s="91"/>
      <c r="D64" s="77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</row>
    <row r="65" spans="1:40" ht="18.95" customHeight="1" x14ac:dyDescent="0.55000000000000004">
      <c r="A65" s="74" t="s">
        <v>40</v>
      </c>
      <c r="B65" s="75" t="s">
        <v>87</v>
      </c>
      <c r="C65" s="78"/>
      <c r="D65" s="77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</row>
    <row r="66" spans="1:40" ht="18.95" customHeight="1" x14ac:dyDescent="0.55000000000000004">
      <c r="A66" s="74" t="s">
        <v>88</v>
      </c>
      <c r="B66" s="75"/>
      <c r="C66" s="91">
        <v>941964.5</v>
      </c>
      <c r="D66" s="77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</row>
    <row r="67" spans="1:40" ht="18.95" customHeight="1" x14ac:dyDescent="0.55000000000000004">
      <c r="A67" s="74" t="s">
        <v>89</v>
      </c>
      <c r="B67" s="75" t="s">
        <v>36</v>
      </c>
      <c r="C67" s="91">
        <v>57780</v>
      </c>
      <c r="D67" s="77"/>
      <c r="E67" s="73"/>
      <c r="F67" s="73"/>
    </row>
    <row r="68" spans="1:40" ht="18.95" customHeight="1" x14ac:dyDescent="0.55000000000000004">
      <c r="A68" s="74" t="s">
        <v>90</v>
      </c>
      <c r="B68" s="75"/>
      <c r="C68" s="91">
        <v>0</v>
      </c>
      <c r="D68" s="77"/>
      <c r="E68" s="73"/>
      <c r="F68" s="73"/>
    </row>
    <row r="69" spans="1:40" ht="18.95" customHeight="1" x14ac:dyDescent="0.55000000000000004">
      <c r="A69" s="74" t="s">
        <v>29</v>
      </c>
      <c r="B69" s="75" t="s">
        <v>91</v>
      </c>
      <c r="C69" s="91">
        <v>25328.9</v>
      </c>
      <c r="D69" s="77"/>
      <c r="E69" s="73"/>
      <c r="F69" s="73"/>
    </row>
    <row r="70" spans="1:40" ht="18.95" customHeight="1" x14ac:dyDescent="0.55000000000000004">
      <c r="A70" s="74" t="s">
        <v>30</v>
      </c>
      <c r="B70" s="75" t="s">
        <v>92</v>
      </c>
      <c r="C70" s="91">
        <v>57680.95</v>
      </c>
      <c r="D70" s="77"/>
      <c r="E70" s="73"/>
      <c r="F70" s="73"/>
    </row>
    <row r="71" spans="1:40" ht="18.95" customHeight="1" x14ac:dyDescent="0.55000000000000004">
      <c r="A71" s="74" t="s">
        <v>41</v>
      </c>
      <c r="B71" s="75" t="s">
        <v>45</v>
      </c>
      <c r="C71" s="90">
        <v>16295.5</v>
      </c>
      <c r="D71" s="77"/>
      <c r="E71" s="73"/>
      <c r="F71" s="73"/>
    </row>
    <row r="72" spans="1:40" ht="18.95" customHeight="1" x14ac:dyDescent="0.55000000000000004">
      <c r="A72" s="74" t="s">
        <v>93</v>
      </c>
      <c r="B72" s="75"/>
      <c r="C72" s="90">
        <v>672000</v>
      </c>
      <c r="D72" s="77"/>
      <c r="E72" s="73"/>
      <c r="F72" s="73"/>
    </row>
    <row r="73" spans="1:40" ht="18.95" customHeight="1" x14ac:dyDescent="0.55000000000000004">
      <c r="A73" s="74" t="s">
        <v>94</v>
      </c>
      <c r="B73" s="75"/>
      <c r="C73" s="90">
        <v>91200</v>
      </c>
      <c r="D73" s="77"/>
      <c r="E73" s="73"/>
      <c r="F73" s="73"/>
    </row>
    <row r="74" spans="1:40" ht="18.95" customHeight="1" x14ac:dyDescent="0.55000000000000004">
      <c r="A74" s="74" t="s">
        <v>46</v>
      </c>
      <c r="B74" s="75" t="s">
        <v>95</v>
      </c>
      <c r="C74" s="90">
        <v>437440</v>
      </c>
      <c r="D74" s="77"/>
      <c r="E74" s="73"/>
      <c r="F74" s="73"/>
    </row>
    <row r="75" spans="1:40" ht="18.95" customHeight="1" x14ac:dyDescent="0.55000000000000004">
      <c r="A75" s="74" t="s">
        <v>48</v>
      </c>
      <c r="B75" s="75" t="s">
        <v>47</v>
      </c>
      <c r="C75" s="90">
        <v>846141.37</v>
      </c>
      <c r="D75" s="77"/>
      <c r="E75" s="73"/>
      <c r="F75" s="73"/>
    </row>
    <row r="76" spans="1:40" ht="18.95" customHeight="1" x14ac:dyDescent="0.55000000000000004">
      <c r="A76" s="74" t="s">
        <v>605</v>
      </c>
      <c r="B76" s="75"/>
      <c r="C76" s="90">
        <v>61820</v>
      </c>
      <c r="D76" s="77"/>
      <c r="E76" s="73"/>
      <c r="F76" s="73"/>
    </row>
    <row r="77" spans="1:40" ht="18.95" customHeight="1" x14ac:dyDescent="0.55000000000000004">
      <c r="A77" s="74" t="s">
        <v>49</v>
      </c>
      <c r="B77" s="75" t="s">
        <v>51</v>
      </c>
      <c r="C77" s="90">
        <v>26200</v>
      </c>
      <c r="D77" s="77"/>
      <c r="E77" s="73"/>
      <c r="F77" s="73"/>
    </row>
    <row r="78" spans="1:40" ht="18.95" customHeight="1" x14ac:dyDescent="0.55000000000000004">
      <c r="A78" s="74" t="s">
        <v>50</v>
      </c>
      <c r="B78" s="75" t="s">
        <v>53</v>
      </c>
      <c r="C78" s="90">
        <v>173845</v>
      </c>
      <c r="D78" s="77"/>
      <c r="E78" s="73"/>
      <c r="F78" s="73"/>
    </row>
    <row r="79" spans="1:40" ht="18.95" customHeight="1" x14ac:dyDescent="0.55000000000000004">
      <c r="A79" s="74" t="s">
        <v>52</v>
      </c>
      <c r="B79" s="75" t="s">
        <v>55</v>
      </c>
      <c r="C79" s="78">
        <v>8670</v>
      </c>
      <c r="D79" s="77"/>
      <c r="E79" s="73"/>
      <c r="F79" s="73"/>
    </row>
    <row r="80" spans="1:40" ht="18.95" customHeight="1" x14ac:dyDescent="0.55000000000000004">
      <c r="A80" s="74" t="s">
        <v>54</v>
      </c>
      <c r="B80" s="75" t="s">
        <v>56</v>
      </c>
      <c r="C80" s="78">
        <v>116150.49</v>
      </c>
      <c r="D80" s="77"/>
      <c r="E80" s="73"/>
      <c r="F80" s="79"/>
    </row>
    <row r="81" spans="1:6" ht="18.95" customHeight="1" x14ac:dyDescent="0.55000000000000004">
      <c r="A81" s="74" t="s">
        <v>25</v>
      </c>
      <c r="B81" s="75" t="s">
        <v>96</v>
      </c>
      <c r="C81" s="80">
        <v>217000</v>
      </c>
      <c r="D81" s="77"/>
      <c r="E81" s="73"/>
      <c r="F81" s="73"/>
    </row>
    <row r="82" spans="1:6" ht="18.95" customHeight="1" x14ac:dyDescent="0.55000000000000004">
      <c r="A82" s="74" t="s">
        <v>57</v>
      </c>
      <c r="B82" s="75" t="s">
        <v>58</v>
      </c>
      <c r="C82" s="80"/>
      <c r="D82" s="77"/>
      <c r="E82" s="73"/>
      <c r="F82" s="73"/>
    </row>
    <row r="83" spans="1:6" ht="18.95" customHeight="1" x14ac:dyDescent="0.55000000000000004">
      <c r="A83" s="74" t="s">
        <v>59</v>
      </c>
      <c r="B83" s="75" t="s">
        <v>60</v>
      </c>
      <c r="C83" s="78"/>
      <c r="D83" s="77"/>
      <c r="E83" s="73"/>
      <c r="F83" s="73"/>
    </row>
    <row r="84" spans="1:6" ht="18.95" customHeight="1" x14ac:dyDescent="0.55000000000000004">
      <c r="A84" s="74" t="s">
        <v>97</v>
      </c>
      <c r="B84" s="75"/>
      <c r="C84" s="78"/>
      <c r="D84" s="77"/>
      <c r="E84" s="73"/>
      <c r="F84" s="73"/>
    </row>
    <row r="85" spans="1:6" ht="18.95" customHeight="1" x14ac:dyDescent="0.55000000000000004">
      <c r="A85" s="74" t="s">
        <v>591</v>
      </c>
      <c r="B85" s="75"/>
      <c r="C85" s="78">
        <v>4282000</v>
      </c>
      <c r="D85" s="77"/>
      <c r="E85" s="73"/>
      <c r="F85" s="73"/>
    </row>
    <row r="86" spans="1:6" ht="18.95" customHeight="1" x14ac:dyDescent="0.55000000000000004">
      <c r="A86" s="74" t="s">
        <v>98</v>
      </c>
      <c r="B86" s="75" t="s">
        <v>99</v>
      </c>
      <c r="C86" s="76"/>
      <c r="D86" s="77">
        <v>3303707.27</v>
      </c>
      <c r="E86" s="73"/>
      <c r="F86" s="73"/>
    </row>
    <row r="87" spans="1:6" ht="18.95" customHeight="1" x14ac:dyDescent="0.55000000000000004">
      <c r="A87" s="74" t="s">
        <v>100</v>
      </c>
      <c r="B87" s="75"/>
      <c r="C87" s="76"/>
      <c r="D87" s="77">
        <v>501300</v>
      </c>
      <c r="E87" s="73"/>
      <c r="F87" s="73"/>
    </row>
    <row r="88" spans="1:6" ht="18.95" customHeight="1" x14ac:dyDescent="0.55000000000000004">
      <c r="A88" s="74" t="s">
        <v>105</v>
      </c>
      <c r="B88" s="75"/>
      <c r="C88" s="76"/>
      <c r="D88" s="77">
        <v>0</v>
      </c>
      <c r="E88" s="73"/>
      <c r="F88" s="73"/>
    </row>
    <row r="89" spans="1:6" ht="18.95" customHeight="1" x14ac:dyDescent="0.55000000000000004">
      <c r="A89" s="74" t="s">
        <v>71</v>
      </c>
      <c r="B89" s="75"/>
      <c r="C89" s="76"/>
      <c r="D89" s="77">
        <v>0</v>
      </c>
      <c r="E89" s="73"/>
      <c r="F89" s="73"/>
    </row>
    <row r="90" spans="1:6" ht="18.95" customHeight="1" x14ac:dyDescent="0.55000000000000004">
      <c r="A90" s="74" t="s">
        <v>101</v>
      </c>
      <c r="B90" s="75" t="s">
        <v>38</v>
      </c>
      <c r="C90" s="76"/>
      <c r="D90" s="81">
        <f>179250+516355+22974.68+6314.17+4.08+46015.79+10709+165500+36600+16500</f>
        <v>1000222.7200000001</v>
      </c>
      <c r="E90" s="73"/>
      <c r="F90" s="73"/>
    </row>
    <row r="91" spans="1:6" ht="18.95" customHeight="1" x14ac:dyDescent="0.55000000000000004">
      <c r="A91" s="74" t="s">
        <v>33</v>
      </c>
      <c r="B91" s="75" t="s">
        <v>34</v>
      </c>
      <c r="C91" s="76"/>
      <c r="D91" s="81">
        <v>4602797.07</v>
      </c>
      <c r="E91" s="73"/>
      <c r="F91" s="73"/>
    </row>
    <row r="92" spans="1:6" ht="18.95" customHeight="1" x14ac:dyDescent="0.55000000000000004">
      <c r="A92" s="74" t="s">
        <v>102</v>
      </c>
      <c r="B92" s="75" t="s">
        <v>103</v>
      </c>
      <c r="C92" s="76"/>
      <c r="D92" s="77">
        <v>7382869.3600000003</v>
      </c>
      <c r="E92" s="73"/>
      <c r="F92" s="73"/>
    </row>
    <row r="93" spans="1:6" ht="18.95" customHeight="1" x14ac:dyDescent="0.55000000000000004">
      <c r="A93" s="74" t="s">
        <v>594</v>
      </c>
      <c r="B93" s="75"/>
      <c r="C93" s="76"/>
      <c r="D93" s="83">
        <v>1011900</v>
      </c>
      <c r="E93" s="73"/>
      <c r="F93" s="73"/>
    </row>
    <row r="94" spans="1:6" ht="18.95" customHeight="1" x14ac:dyDescent="0.55000000000000004">
      <c r="A94" s="74" t="s">
        <v>595</v>
      </c>
      <c r="B94" s="75"/>
      <c r="C94" s="82"/>
      <c r="D94" s="83">
        <v>136800</v>
      </c>
      <c r="E94" s="73"/>
      <c r="F94" s="73"/>
    </row>
    <row r="95" spans="1:6" ht="18.95" customHeight="1" x14ac:dyDescent="0.55000000000000004">
      <c r="A95" s="74" t="s">
        <v>596</v>
      </c>
      <c r="B95" s="84"/>
      <c r="C95" s="82"/>
      <c r="D95" s="83">
        <v>208490</v>
      </c>
      <c r="E95" s="73"/>
      <c r="F95" s="73"/>
    </row>
    <row r="96" spans="1:6" ht="18.95" customHeight="1" x14ac:dyDescent="0.55000000000000004">
      <c r="A96" s="74" t="s">
        <v>597</v>
      </c>
      <c r="B96" s="84"/>
      <c r="C96" s="82"/>
      <c r="D96" s="83">
        <v>4510</v>
      </c>
      <c r="E96" s="73"/>
      <c r="F96" s="73"/>
    </row>
    <row r="97" spans="1:40" ht="18.95" customHeight="1" x14ac:dyDescent="0.55000000000000004">
      <c r="A97" s="74" t="s">
        <v>604</v>
      </c>
      <c r="B97" s="84"/>
      <c r="C97" s="82"/>
      <c r="D97" s="83">
        <v>50400</v>
      </c>
      <c r="E97" s="73"/>
      <c r="F97" s="73"/>
    </row>
    <row r="98" spans="1:40" ht="18.95" customHeight="1" x14ac:dyDescent="0.55000000000000004">
      <c r="A98" s="74" t="s">
        <v>593</v>
      </c>
      <c r="B98" s="84"/>
      <c r="C98" s="82"/>
      <c r="D98" s="83">
        <v>4282000</v>
      </c>
      <c r="E98" s="73"/>
      <c r="F98" s="73"/>
    </row>
    <row r="99" spans="1:40" ht="18.95" customHeight="1" x14ac:dyDescent="0.55000000000000004">
      <c r="A99" s="537" t="s">
        <v>603</v>
      </c>
      <c r="B99" s="84"/>
      <c r="C99" s="82"/>
      <c r="D99" s="83">
        <v>430</v>
      </c>
      <c r="E99" s="73"/>
      <c r="F99" s="73"/>
    </row>
    <row r="100" spans="1:40" ht="18.95" customHeight="1" x14ac:dyDescent="0.55000000000000004">
      <c r="A100" s="386" t="s">
        <v>543</v>
      </c>
      <c r="B100" s="387"/>
      <c r="C100" s="535"/>
      <c r="D100" s="536">
        <v>50292</v>
      </c>
      <c r="E100" s="73"/>
      <c r="F100" s="73"/>
    </row>
    <row r="101" spans="1:40" ht="18.95" customHeight="1" thickBot="1" x14ac:dyDescent="0.6">
      <c r="A101" s="85"/>
      <c r="B101" s="385"/>
      <c r="C101" s="86">
        <f>SUM(C58:C100)</f>
        <v>22535718.419999998</v>
      </c>
      <c r="D101" s="87">
        <f>SUM(D58:D100)</f>
        <v>22535718.420000002</v>
      </c>
      <c r="E101" s="85"/>
      <c r="F101" s="381"/>
    </row>
    <row r="102" spans="1:40" ht="18.95" customHeight="1" thickTop="1" x14ac:dyDescent="0.55000000000000004">
      <c r="A102" s="85"/>
      <c r="B102" s="533"/>
      <c r="C102" s="534"/>
      <c r="D102" s="534"/>
      <c r="E102" s="85"/>
      <c r="F102" s="381"/>
    </row>
    <row r="103" spans="1:40" ht="18.95" customHeight="1" x14ac:dyDescent="0.45">
      <c r="A103" s="376" t="s">
        <v>599</v>
      </c>
      <c r="B103" s="376"/>
      <c r="C103" s="376"/>
      <c r="D103" s="376"/>
      <c r="E103" s="376"/>
      <c r="F103" s="376"/>
    </row>
    <row r="104" spans="1:40" ht="18.95" customHeight="1" x14ac:dyDescent="0.45">
      <c r="A104" s="532" t="s">
        <v>601</v>
      </c>
      <c r="B104" s="376"/>
      <c r="C104" s="376"/>
      <c r="D104" s="376"/>
      <c r="E104" s="376"/>
      <c r="F104" s="376"/>
    </row>
    <row r="105" spans="1:40" ht="18.95" customHeight="1" x14ac:dyDescent="0.45">
      <c r="A105" s="376" t="s">
        <v>598</v>
      </c>
      <c r="B105" s="376"/>
      <c r="C105" s="376"/>
      <c r="D105" s="376"/>
    </row>
    <row r="106" spans="1:40" ht="18.95" customHeight="1" x14ac:dyDescent="0.45">
      <c r="A106" s="376" t="s">
        <v>600</v>
      </c>
    </row>
    <row r="110" spans="1:40" ht="24" x14ac:dyDescent="0.55000000000000004">
      <c r="A110" s="839" t="s">
        <v>76</v>
      </c>
      <c r="B110" s="839"/>
      <c r="C110" s="839"/>
      <c r="D110" s="83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</row>
    <row r="111" spans="1:40" ht="24" x14ac:dyDescent="0.55000000000000004">
      <c r="A111" s="839" t="s">
        <v>77</v>
      </c>
      <c r="B111" s="839"/>
      <c r="C111" s="839"/>
      <c r="D111" s="83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</row>
    <row r="112" spans="1:40" ht="24" x14ac:dyDescent="0.55000000000000004">
      <c r="A112" s="840" t="s">
        <v>606</v>
      </c>
      <c r="B112" s="840"/>
      <c r="C112" s="840"/>
      <c r="D112" s="840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</row>
    <row r="113" spans="1:40" ht="22.5" x14ac:dyDescent="0.45">
      <c r="A113" s="841" t="s">
        <v>10</v>
      </c>
      <c r="B113" s="843" t="s">
        <v>78</v>
      </c>
      <c r="C113" s="845" t="s">
        <v>79</v>
      </c>
      <c r="D113" s="845" t="s">
        <v>80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</row>
    <row r="114" spans="1:40" ht="22.5" x14ac:dyDescent="0.45">
      <c r="A114" s="842"/>
      <c r="B114" s="844"/>
      <c r="C114" s="846"/>
      <c r="D114" s="846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</row>
    <row r="115" spans="1:40" ht="18.95" customHeight="1" x14ac:dyDescent="0.55000000000000004">
      <c r="A115" s="377" t="s">
        <v>42</v>
      </c>
      <c r="B115" s="378"/>
      <c r="C115" s="379"/>
      <c r="D115" s="380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</row>
    <row r="116" spans="1:40" ht="18.95" customHeight="1" x14ac:dyDescent="0.55000000000000004">
      <c r="A116" s="74" t="s">
        <v>86</v>
      </c>
      <c r="B116" s="75" t="s">
        <v>82</v>
      </c>
      <c r="C116" s="379">
        <v>5589902.7699999996</v>
      </c>
      <c r="D116" s="380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</row>
    <row r="117" spans="1:40" ht="18.95" customHeight="1" x14ac:dyDescent="0.55000000000000004">
      <c r="A117" s="74" t="s">
        <v>83</v>
      </c>
      <c r="B117" s="75" t="s">
        <v>82</v>
      </c>
      <c r="C117" s="90">
        <v>7564346.7000000002</v>
      </c>
      <c r="D117" s="380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</row>
    <row r="118" spans="1:40" ht="18.95" customHeight="1" x14ac:dyDescent="0.55000000000000004">
      <c r="A118" s="74" t="s">
        <v>84</v>
      </c>
      <c r="B118" s="75" t="s">
        <v>85</v>
      </c>
      <c r="C118" s="90">
        <v>6421.6</v>
      </c>
      <c r="D118" s="77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</row>
    <row r="119" spans="1:40" ht="18.95" customHeight="1" x14ac:dyDescent="0.55000000000000004">
      <c r="A119" s="74" t="s">
        <v>81</v>
      </c>
      <c r="B119" s="75" t="s">
        <v>82</v>
      </c>
      <c r="C119" s="90">
        <v>3070.05</v>
      </c>
      <c r="D119" s="77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</row>
    <row r="120" spans="1:40" ht="18.95" customHeight="1" x14ac:dyDescent="0.55000000000000004">
      <c r="A120" s="74" t="s">
        <v>503</v>
      </c>
      <c r="B120" s="75"/>
      <c r="C120" s="90">
        <v>3</v>
      </c>
      <c r="D120" s="77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</row>
    <row r="121" spans="1:40" ht="18.95" customHeight="1" x14ac:dyDescent="0.55000000000000004">
      <c r="A121" s="74" t="s">
        <v>104</v>
      </c>
      <c r="B121" s="75"/>
      <c r="C121" s="91"/>
      <c r="D121" s="77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</row>
    <row r="122" spans="1:40" ht="18.95" customHeight="1" x14ac:dyDescent="0.55000000000000004">
      <c r="A122" s="74" t="s">
        <v>40</v>
      </c>
      <c r="B122" s="75" t="s">
        <v>87</v>
      </c>
      <c r="C122" s="78"/>
      <c r="D122" s="77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</row>
    <row r="123" spans="1:40" ht="18.95" customHeight="1" x14ac:dyDescent="0.55000000000000004">
      <c r="A123" s="74" t="s">
        <v>88</v>
      </c>
      <c r="B123" s="75"/>
      <c r="C123" s="91">
        <v>941964.5</v>
      </c>
      <c r="D123" s="77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</row>
    <row r="124" spans="1:40" ht="18.95" customHeight="1" x14ac:dyDescent="0.55000000000000004">
      <c r="A124" s="74" t="s">
        <v>89</v>
      </c>
      <c r="B124" s="75" t="s">
        <v>36</v>
      </c>
      <c r="C124" s="91">
        <v>57780</v>
      </c>
      <c r="D124" s="77"/>
      <c r="E124" s="73"/>
      <c r="F124" s="73"/>
    </row>
    <row r="125" spans="1:40" ht="18.95" customHeight="1" x14ac:dyDescent="0.55000000000000004">
      <c r="A125" s="74" t="s">
        <v>90</v>
      </c>
      <c r="B125" s="75"/>
      <c r="C125" s="91">
        <v>330000</v>
      </c>
      <c r="D125" s="77"/>
      <c r="E125" s="73"/>
      <c r="F125" s="73"/>
    </row>
    <row r="126" spans="1:40" ht="18.95" customHeight="1" x14ac:dyDescent="0.55000000000000004">
      <c r="A126" s="74" t="s">
        <v>29</v>
      </c>
      <c r="B126" s="75" t="s">
        <v>91</v>
      </c>
      <c r="C126" s="91">
        <v>24934.65</v>
      </c>
      <c r="D126" s="77"/>
      <c r="E126" s="73"/>
      <c r="F126" s="73"/>
    </row>
    <row r="127" spans="1:40" ht="18.95" customHeight="1" x14ac:dyDescent="0.55000000000000004">
      <c r="A127" s="74" t="s">
        <v>30</v>
      </c>
      <c r="B127" s="75" t="s">
        <v>92</v>
      </c>
      <c r="C127" s="91">
        <v>57680.95</v>
      </c>
      <c r="D127" s="77"/>
      <c r="E127" s="73"/>
      <c r="F127" s="73"/>
    </row>
    <row r="128" spans="1:40" ht="18.95" customHeight="1" x14ac:dyDescent="0.55000000000000004">
      <c r="A128" s="74" t="s">
        <v>41</v>
      </c>
      <c r="B128" s="75" t="s">
        <v>45</v>
      </c>
      <c r="C128" s="90">
        <v>41108.5</v>
      </c>
      <c r="D128" s="77"/>
      <c r="E128" s="73"/>
      <c r="F128" s="73"/>
    </row>
    <row r="129" spans="1:6" ht="18.95" customHeight="1" x14ac:dyDescent="0.55000000000000004">
      <c r="A129" s="74" t="s">
        <v>93</v>
      </c>
      <c r="B129" s="75"/>
      <c r="C129" s="90">
        <v>1006100</v>
      </c>
      <c r="D129" s="77"/>
      <c r="E129" s="73"/>
      <c r="F129" s="73"/>
    </row>
    <row r="130" spans="1:6" ht="18.95" customHeight="1" x14ac:dyDescent="0.55000000000000004">
      <c r="A130" s="74" t="s">
        <v>94</v>
      </c>
      <c r="B130" s="75"/>
      <c r="C130" s="90">
        <v>136800</v>
      </c>
      <c r="D130" s="77"/>
      <c r="E130" s="73"/>
      <c r="F130" s="73"/>
    </row>
    <row r="131" spans="1:6" ht="18.95" customHeight="1" x14ac:dyDescent="0.55000000000000004">
      <c r="A131" s="74" t="s">
        <v>46</v>
      </c>
      <c r="B131" s="75" t="s">
        <v>95</v>
      </c>
      <c r="C131" s="90">
        <v>656160</v>
      </c>
      <c r="D131" s="77"/>
      <c r="E131" s="73"/>
      <c r="F131" s="73"/>
    </row>
    <row r="132" spans="1:6" ht="18.95" customHeight="1" x14ac:dyDescent="0.55000000000000004">
      <c r="A132" s="74" t="s">
        <v>48</v>
      </c>
      <c r="B132" s="75" t="s">
        <v>47</v>
      </c>
      <c r="C132" s="90">
        <v>1297931.3700000001</v>
      </c>
      <c r="D132" s="77"/>
      <c r="E132" s="73"/>
      <c r="F132" s="73"/>
    </row>
    <row r="133" spans="1:6" ht="18.95" customHeight="1" x14ac:dyDescent="0.55000000000000004">
      <c r="A133" s="74" t="s">
        <v>605</v>
      </c>
      <c r="B133" s="75"/>
      <c r="C133" s="90">
        <v>61820</v>
      </c>
      <c r="D133" s="77"/>
      <c r="E133" s="73"/>
      <c r="F133" s="73"/>
    </row>
    <row r="134" spans="1:6" ht="18.95" customHeight="1" x14ac:dyDescent="0.55000000000000004">
      <c r="A134" s="74" t="s">
        <v>49</v>
      </c>
      <c r="B134" s="75" t="s">
        <v>51</v>
      </c>
      <c r="C134" s="90">
        <v>44220</v>
      </c>
      <c r="D134" s="77"/>
      <c r="E134" s="73"/>
      <c r="F134" s="73"/>
    </row>
    <row r="135" spans="1:6" ht="18.95" customHeight="1" x14ac:dyDescent="0.55000000000000004">
      <c r="A135" s="74" t="s">
        <v>50</v>
      </c>
      <c r="B135" s="75" t="s">
        <v>53</v>
      </c>
      <c r="C135" s="90">
        <v>331722</v>
      </c>
      <c r="D135" s="77"/>
      <c r="E135" s="73"/>
      <c r="F135" s="73"/>
    </row>
    <row r="136" spans="1:6" ht="18.95" customHeight="1" x14ac:dyDescent="0.55000000000000004">
      <c r="A136" s="74" t="s">
        <v>52</v>
      </c>
      <c r="B136" s="75" t="s">
        <v>55</v>
      </c>
      <c r="C136" s="78">
        <v>44451</v>
      </c>
      <c r="D136" s="77"/>
      <c r="E136" s="73"/>
      <c r="F136" s="73"/>
    </row>
    <row r="137" spans="1:6" ht="18.95" customHeight="1" x14ac:dyDescent="0.55000000000000004">
      <c r="A137" s="74" t="s">
        <v>54</v>
      </c>
      <c r="B137" s="75" t="s">
        <v>56</v>
      </c>
      <c r="C137" s="78">
        <v>221354.32</v>
      </c>
      <c r="D137" s="77"/>
      <c r="E137" s="73"/>
      <c r="F137" s="79"/>
    </row>
    <row r="138" spans="1:6" ht="18.95" customHeight="1" x14ac:dyDescent="0.55000000000000004">
      <c r="A138" s="74" t="s">
        <v>25</v>
      </c>
      <c r="B138" s="75" t="s">
        <v>96</v>
      </c>
      <c r="C138" s="80">
        <v>217000</v>
      </c>
      <c r="D138" s="77"/>
      <c r="E138" s="73"/>
      <c r="F138" s="73"/>
    </row>
    <row r="139" spans="1:6" ht="18.95" customHeight="1" x14ac:dyDescent="0.55000000000000004">
      <c r="A139" s="74" t="s">
        <v>57</v>
      </c>
      <c r="B139" s="75" t="s">
        <v>58</v>
      </c>
      <c r="C139" s="80"/>
      <c r="D139" s="77"/>
      <c r="E139" s="73"/>
      <c r="F139" s="73"/>
    </row>
    <row r="140" spans="1:6" ht="18.95" customHeight="1" x14ac:dyDescent="0.55000000000000004">
      <c r="A140" s="74" t="s">
        <v>59</v>
      </c>
      <c r="B140" s="75" t="s">
        <v>60</v>
      </c>
      <c r="C140" s="78"/>
      <c r="D140" s="77"/>
      <c r="E140" s="73"/>
      <c r="F140" s="73"/>
    </row>
    <row r="141" spans="1:6" ht="18.95" customHeight="1" x14ac:dyDescent="0.55000000000000004">
      <c r="A141" s="74" t="s">
        <v>97</v>
      </c>
      <c r="B141" s="75"/>
      <c r="C141" s="78"/>
      <c r="D141" s="77"/>
      <c r="E141" s="73"/>
      <c r="F141" s="73"/>
    </row>
    <row r="142" spans="1:6" ht="18.95" customHeight="1" x14ac:dyDescent="0.55000000000000004">
      <c r="A142" s="74" t="s">
        <v>591</v>
      </c>
      <c r="B142" s="75"/>
      <c r="C142" s="78">
        <v>4282000</v>
      </c>
      <c r="D142" s="77"/>
      <c r="E142" s="73"/>
      <c r="F142" s="73"/>
    </row>
    <row r="143" spans="1:6" ht="18.95" customHeight="1" x14ac:dyDescent="0.55000000000000004">
      <c r="A143" s="74" t="s">
        <v>98</v>
      </c>
      <c r="B143" s="75" t="s">
        <v>99</v>
      </c>
      <c r="C143" s="76"/>
      <c r="D143" s="77">
        <v>3966370.73</v>
      </c>
      <c r="E143" s="73"/>
      <c r="F143" s="73"/>
    </row>
    <row r="144" spans="1:6" ht="18.95" customHeight="1" x14ac:dyDescent="0.55000000000000004">
      <c r="A144" s="74" t="s">
        <v>100</v>
      </c>
      <c r="B144" s="75"/>
      <c r="C144" s="76"/>
      <c r="D144" s="77">
        <v>501300</v>
      </c>
      <c r="E144" s="73"/>
      <c r="F144" s="73"/>
    </row>
    <row r="145" spans="1:6" ht="18.95" customHeight="1" x14ac:dyDescent="0.55000000000000004">
      <c r="A145" s="74" t="s">
        <v>105</v>
      </c>
      <c r="B145" s="75"/>
      <c r="C145" s="76"/>
      <c r="D145" s="77">
        <v>0</v>
      </c>
      <c r="E145" s="73"/>
      <c r="F145" s="73"/>
    </row>
    <row r="146" spans="1:6" ht="18.95" customHeight="1" x14ac:dyDescent="0.55000000000000004">
      <c r="A146" s="74" t="s">
        <v>71</v>
      </c>
      <c r="B146" s="75"/>
      <c r="C146" s="76"/>
      <c r="D146" s="77">
        <v>0</v>
      </c>
      <c r="E146" s="73"/>
      <c r="F146" s="73"/>
    </row>
    <row r="147" spans="1:6" ht="18.95" customHeight="1" x14ac:dyDescent="0.55000000000000004">
      <c r="A147" s="74" t="s">
        <v>101</v>
      </c>
      <c r="B147" s="75" t="s">
        <v>38</v>
      </c>
      <c r="C147" s="76"/>
      <c r="D147" s="81">
        <f>901105+23029.83+6314.17+4.08+12444.67+12864.5+165500+36600+16500</f>
        <v>1174362.25</v>
      </c>
      <c r="E147" s="73"/>
      <c r="F147" s="73"/>
    </row>
    <row r="148" spans="1:6" ht="18.95" customHeight="1" x14ac:dyDescent="0.55000000000000004">
      <c r="A148" s="74" t="s">
        <v>33</v>
      </c>
      <c r="B148" s="75" t="s">
        <v>34</v>
      </c>
      <c r="C148" s="76"/>
      <c r="D148" s="81">
        <v>4147047.07</v>
      </c>
      <c r="E148" s="73"/>
      <c r="F148" s="73"/>
    </row>
    <row r="149" spans="1:6" ht="18.95" customHeight="1" x14ac:dyDescent="0.55000000000000004">
      <c r="A149" s="74" t="s">
        <v>102</v>
      </c>
      <c r="B149" s="75" t="s">
        <v>103</v>
      </c>
      <c r="C149" s="76"/>
      <c r="D149" s="77">
        <v>7382869.3600000003</v>
      </c>
      <c r="E149" s="73"/>
      <c r="F149" s="73"/>
    </row>
    <row r="150" spans="1:6" ht="18.95" customHeight="1" x14ac:dyDescent="0.55000000000000004">
      <c r="A150" s="74" t="s">
        <v>594</v>
      </c>
      <c r="B150" s="75"/>
      <c r="C150" s="76"/>
      <c r="D150" s="83">
        <v>1011900</v>
      </c>
      <c r="E150" s="73"/>
      <c r="F150" s="73"/>
    </row>
    <row r="151" spans="1:6" ht="18.95" customHeight="1" x14ac:dyDescent="0.55000000000000004">
      <c r="A151" s="74" t="s">
        <v>595</v>
      </c>
      <c r="B151" s="75"/>
      <c r="C151" s="82"/>
      <c r="D151" s="83">
        <v>136800</v>
      </c>
      <c r="E151" s="73"/>
      <c r="F151" s="73"/>
    </row>
    <row r="152" spans="1:6" ht="18.95" customHeight="1" x14ac:dyDescent="0.55000000000000004">
      <c r="A152" s="74" t="s">
        <v>596</v>
      </c>
      <c r="B152" s="84"/>
      <c r="C152" s="82"/>
      <c r="D152" s="83">
        <v>208490</v>
      </c>
      <c r="E152" s="73"/>
      <c r="F152" s="73"/>
    </row>
    <row r="153" spans="1:6" ht="18.95" customHeight="1" x14ac:dyDescent="0.55000000000000004">
      <c r="A153" s="74" t="s">
        <v>597</v>
      </c>
      <c r="B153" s="84"/>
      <c r="C153" s="82"/>
      <c r="D153" s="83">
        <v>4510</v>
      </c>
      <c r="E153" s="73"/>
      <c r="F153" s="73"/>
    </row>
    <row r="154" spans="1:6" ht="18.95" customHeight="1" x14ac:dyDescent="0.55000000000000004">
      <c r="A154" s="74" t="s">
        <v>604</v>
      </c>
      <c r="B154" s="84"/>
      <c r="C154" s="82"/>
      <c r="D154" s="83">
        <v>50400</v>
      </c>
      <c r="E154" s="73"/>
      <c r="F154" s="73"/>
    </row>
    <row r="155" spans="1:6" ht="18.95" customHeight="1" x14ac:dyDescent="0.55000000000000004">
      <c r="A155" s="74" t="s">
        <v>593</v>
      </c>
      <c r="B155" s="84"/>
      <c r="C155" s="82"/>
      <c r="D155" s="83">
        <v>4282000</v>
      </c>
      <c r="E155" s="73"/>
      <c r="F155" s="73"/>
    </row>
    <row r="156" spans="1:6" ht="18.95" customHeight="1" x14ac:dyDescent="0.55000000000000004">
      <c r="A156" s="537" t="s">
        <v>603</v>
      </c>
      <c r="B156" s="84"/>
      <c r="C156" s="82"/>
      <c r="D156" s="83">
        <v>430</v>
      </c>
      <c r="E156" s="73"/>
      <c r="F156" s="73"/>
    </row>
    <row r="157" spans="1:6" ht="18.95" customHeight="1" x14ac:dyDescent="0.55000000000000004">
      <c r="A157" s="386" t="s">
        <v>543</v>
      </c>
      <c r="B157" s="387"/>
      <c r="C157" s="535"/>
      <c r="D157" s="536">
        <v>50292</v>
      </c>
      <c r="E157" s="73"/>
      <c r="F157" s="73"/>
    </row>
    <row r="158" spans="1:6" ht="18.95" customHeight="1" thickBot="1" x14ac:dyDescent="0.6">
      <c r="A158" s="85"/>
      <c r="B158" s="385"/>
      <c r="C158" s="86">
        <f>SUM(C115:C157)</f>
        <v>22916771.41</v>
      </c>
      <c r="D158" s="87">
        <f>SUM(D115:D157)</f>
        <v>22916771.41</v>
      </c>
      <c r="E158" s="85"/>
      <c r="F158" s="381"/>
    </row>
    <row r="159" spans="1:6" ht="18.95" customHeight="1" thickTop="1" x14ac:dyDescent="0.55000000000000004">
      <c r="A159" s="85"/>
      <c r="B159" s="533"/>
      <c r="C159" s="534"/>
      <c r="D159" s="534"/>
      <c r="E159" s="85"/>
      <c r="F159" s="381"/>
    </row>
    <row r="160" spans="1:6" ht="18.95" customHeight="1" x14ac:dyDescent="0.45">
      <c r="A160" s="376" t="s">
        <v>599</v>
      </c>
      <c r="B160" s="376"/>
      <c r="C160" s="376"/>
      <c r="D160" s="376"/>
      <c r="E160" s="376"/>
      <c r="F160" s="376"/>
    </row>
    <row r="161" spans="1:40" ht="18.95" customHeight="1" x14ac:dyDescent="0.45">
      <c r="A161" s="532" t="s">
        <v>601</v>
      </c>
      <c r="B161" s="376"/>
      <c r="C161" s="376"/>
      <c r="D161" s="376"/>
      <c r="E161" s="376"/>
      <c r="F161" s="376"/>
    </row>
    <row r="162" spans="1:40" ht="18.95" customHeight="1" x14ac:dyDescent="0.45">
      <c r="A162" s="376" t="s">
        <v>598</v>
      </c>
      <c r="B162" s="376"/>
      <c r="C162" s="376"/>
      <c r="D162" s="376"/>
    </row>
    <row r="163" spans="1:40" ht="18.95" customHeight="1" x14ac:dyDescent="0.45">
      <c r="A163" s="376" t="s">
        <v>600</v>
      </c>
    </row>
    <row r="167" spans="1:40" ht="24" x14ac:dyDescent="0.55000000000000004">
      <c r="A167" s="839" t="s">
        <v>76</v>
      </c>
      <c r="B167" s="839"/>
      <c r="C167" s="839"/>
      <c r="D167" s="83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</row>
    <row r="168" spans="1:40" ht="24" x14ac:dyDescent="0.55000000000000004">
      <c r="A168" s="839" t="s">
        <v>77</v>
      </c>
      <c r="B168" s="839"/>
      <c r="C168" s="839"/>
      <c r="D168" s="83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</row>
    <row r="169" spans="1:40" ht="24" x14ac:dyDescent="0.55000000000000004">
      <c r="A169" s="840" t="s">
        <v>607</v>
      </c>
      <c r="B169" s="840"/>
      <c r="C169" s="840"/>
      <c r="D169" s="840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</row>
    <row r="170" spans="1:40" ht="22.5" x14ac:dyDescent="0.45">
      <c r="A170" s="841" t="s">
        <v>10</v>
      </c>
      <c r="B170" s="843" t="s">
        <v>78</v>
      </c>
      <c r="C170" s="845" t="s">
        <v>79</v>
      </c>
      <c r="D170" s="845" t="s">
        <v>80</v>
      </c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</row>
    <row r="171" spans="1:40" ht="22.5" x14ac:dyDescent="0.45">
      <c r="A171" s="842"/>
      <c r="B171" s="844"/>
      <c r="C171" s="846"/>
      <c r="D171" s="846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</row>
    <row r="172" spans="1:40" ht="18.95" customHeight="1" x14ac:dyDescent="0.55000000000000004">
      <c r="A172" s="377" t="s">
        <v>42</v>
      </c>
      <c r="B172" s="378"/>
      <c r="C172" s="379"/>
      <c r="D172" s="380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</row>
    <row r="173" spans="1:40" ht="18.95" customHeight="1" x14ac:dyDescent="0.55000000000000004">
      <c r="A173" s="74" t="s">
        <v>86</v>
      </c>
      <c r="B173" s="75" t="s">
        <v>82</v>
      </c>
      <c r="C173" s="379">
        <v>5273520.92</v>
      </c>
      <c r="D173" s="380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</row>
    <row r="174" spans="1:40" ht="18.95" customHeight="1" x14ac:dyDescent="0.55000000000000004">
      <c r="A174" s="74" t="s">
        <v>83</v>
      </c>
      <c r="B174" s="75" t="s">
        <v>82</v>
      </c>
      <c r="C174" s="90">
        <v>8349804.5599999996</v>
      </c>
      <c r="D174" s="380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</row>
    <row r="175" spans="1:40" ht="18.95" customHeight="1" x14ac:dyDescent="0.55000000000000004">
      <c r="A175" s="74" t="s">
        <v>84</v>
      </c>
      <c r="B175" s="75" t="s">
        <v>85</v>
      </c>
      <c r="C175" s="90">
        <v>6421.6</v>
      </c>
      <c r="D175" s="77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</row>
    <row r="176" spans="1:40" ht="18.95" customHeight="1" x14ac:dyDescent="0.55000000000000004">
      <c r="A176" s="74" t="s">
        <v>81</v>
      </c>
      <c r="B176" s="75" t="s">
        <v>82</v>
      </c>
      <c r="C176" s="90">
        <v>3070.05</v>
      </c>
      <c r="D176" s="77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</row>
    <row r="177" spans="1:40" ht="18.95" customHeight="1" x14ac:dyDescent="0.55000000000000004">
      <c r="A177" s="74" t="s">
        <v>503</v>
      </c>
      <c r="B177" s="75"/>
      <c r="C177" s="90">
        <v>3</v>
      </c>
      <c r="D177" s="77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</row>
    <row r="178" spans="1:40" ht="18.95" customHeight="1" x14ac:dyDescent="0.55000000000000004">
      <c r="A178" s="74" t="s">
        <v>104</v>
      </c>
      <c r="B178" s="75"/>
      <c r="C178" s="91"/>
      <c r="D178" s="77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</row>
    <row r="179" spans="1:40" ht="18.95" customHeight="1" x14ac:dyDescent="0.55000000000000004">
      <c r="A179" s="74" t="s">
        <v>40</v>
      </c>
      <c r="B179" s="75" t="s">
        <v>87</v>
      </c>
      <c r="C179" s="78"/>
      <c r="D179" s="77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</row>
    <row r="180" spans="1:40" ht="18.95" customHeight="1" x14ac:dyDescent="0.55000000000000004">
      <c r="A180" s="74" t="s">
        <v>88</v>
      </c>
      <c r="B180" s="75"/>
      <c r="C180" s="91">
        <v>941964.5</v>
      </c>
      <c r="D180" s="77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</row>
    <row r="181" spans="1:40" ht="18.95" customHeight="1" x14ac:dyDescent="0.55000000000000004">
      <c r="A181" s="74" t="s">
        <v>89</v>
      </c>
      <c r="B181" s="75" t="s">
        <v>36</v>
      </c>
      <c r="C181" s="91">
        <v>57780</v>
      </c>
      <c r="D181" s="77"/>
      <c r="E181" s="73"/>
      <c r="F181" s="73"/>
    </row>
    <row r="182" spans="1:40" ht="18.95" customHeight="1" x14ac:dyDescent="0.55000000000000004">
      <c r="A182" s="74" t="s">
        <v>90</v>
      </c>
      <c r="B182" s="75"/>
      <c r="C182" s="91">
        <v>0</v>
      </c>
      <c r="D182" s="77"/>
      <c r="E182" s="73"/>
      <c r="F182" s="73"/>
    </row>
    <row r="183" spans="1:40" ht="18.95" customHeight="1" x14ac:dyDescent="0.55000000000000004">
      <c r="A183" s="74" t="s">
        <v>29</v>
      </c>
      <c r="B183" s="75" t="s">
        <v>91</v>
      </c>
      <c r="C183" s="91">
        <v>24143.3</v>
      </c>
      <c r="D183" s="77"/>
      <c r="E183" s="73"/>
      <c r="F183" s="73"/>
    </row>
    <row r="184" spans="1:40" ht="18.95" customHeight="1" x14ac:dyDescent="0.55000000000000004">
      <c r="A184" s="74" t="s">
        <v>30</v>
      </c>
      <c r="B184" s="75" t="s">
        <v>92</v>
      </c>
      <c r="C184" s="91">
        <v>57680.95</v>
      </c>
      <c r="D184" s="77"/>
      <c r="E184" s="73"/>
      <c r="F184" s="73"/>
    </row>
    <row r="185" spans="1:40" ht="18.95" customHeight="1" x14ac:dyDescent="0.55000000000000004">
      <c r="A185" s="74" t="s">
        <v>41</v>
      </c>
      <c r="B185" s="75" t="s">
        <v>45</v>
      </c>
      <c r="C185" s="90">
        <v>313664.2</v>
      </c>
      <c r="D185" s="77"/>
      <c r="E185" s="73"/>
      <c r="F185" s="73"/>
    </row>
    <row r="186" spans="1:40" ht="18.95" customHeight="1" x14ac:dyDescent="0.55000000000000004">
      <c r="A186" s="74" t="s">
        <v>93</v>
      </c>
      <c r="B186" s="75"/>
      <c r="C186" s="90">
        <v>1338400</v>
      </c>
      <c r="D186" s="77"/>
      <c r="E186" s="73"/>
      <c r="F186" s="73"/>
    </row>
    <row r="187" spans="1:40" ht="18.95" customHeight="1" x14ac:dyDescent="0.55000000000000004">
      <c r="A187" s="74" t="s">
        <v>94</v>
      </c>
      <c r="B187" s="75"/>
      <c r="C187" s="90">
        <v>182400</v>
      </c>
      <c r="D187" s="77"/>
      <c r="E187" s="73"/>
      <c r="F187" s="73"/>
    </row>
    <row r="188" spans="1:40" ht="18.95" customHeight="1" x14ac:dyDescent="0.55000000000000004">
      <c r="A188" s="74" t="s">
        <v>46</v>
      </c>
      <c r="B188" s="75" t="s">
        <v>95</v>
      </c>
      <c r="C188" s="90">
        <v>874880</v>
      </c>
      <c r="D188" s="77"/>
      <c r="E188" s="73"/>
      <c r="F188" s="73"/>
    </row>
    <row r="189" spans="1:40" ht="18.95" customHeight="1" x14ac:dyDescent="0.55000000000000004">
      <c r="A189" s="74" t="s">
        <v>48</v>
      </c>
      <c r="B189" s="75" t="s">
        <v>47</v>
      </c>
      <c r="C189" s="90">
        <v>1698976.37</v>
      </c>
      <c r="D189" s="77"/>
      <c r="E189" s="73"/>
      <c r="F189" s="73"/>
    </row>
    <row r="190" spans="1:40" ht="18.95" customHeight="1" x14ac:dyDescent="0.55000000000000004">
      <c r="A190" s="74" t="s">
        <v>605</v>
      </c>
      <c r="B190" s="75"/>
      <c r="C190" s="90">
        <v>177346.5</v>
      </c>
      <c r="D190" s="77"/>
      <c r="E190" s="73"/>
      <c r="F190" s="73"/>
    </row>
    <row r="191" spans="1:40" ht="18.95" customHeight="1" x14ac:dyDescent="0.55000000000000004">
      <c r="A191" s="74" t="s">
        <v>49</v>
      </c>
      <c r="B191" s="75" t="s">
        <v>51</v>
      </c>
      <c r="C191" s="90">
        <v>50390</v>
      </c>
      <c r="D191" s="77"/>
      <c r="E191" s="73"/>
      <c r="F191" s="73"/>
    </row>
    <row r="192" spans="1:40" ht="18.95" customHeight="1" x14ac:dyDescent="0.55000000000000004">
      <c r="A192" s="74" t="s">
        <v>50</v>
      </c>
      <c r="B192" s="75" t="s">
        <v>53</v>
      </c>
      <c r="C192" s="90">
        <v>837527.73</v>
      </c>
      <c r="D192" s="77"/>
      <c r="E192" s="73"/>
      <c r="F192" s="73"/>
    </row>
    <row r="193" spans="1:6" ht="18.95" customHeight="1" x14ac:dyDescent="0.55000000000000004">
      <c r="A193" s="74" t="s">
        <v>52</v>
      </c>
      <c r="B193" s="75" t="s">
        <v>55</v>
      </c>
      <c r="C193" s="78">
        <v>243342.64</v>
      </c>
      <c r="D193" s="77"/>
      <c r="E193" s="73"/>
      <c r="F193" s="73"/>
    </row>
    <row r="194" spans="1:6" ht="18.95" customHeight="1" x14ac:dyDescent="0.55000000000000004">
      <c r="A194" s="74" t="s">
        <v>54</v>
      </c>
      <c r="B194" s="75" t="s">
        <v>56</v>
      </c>
      <c r="C194" s="78">
        <v>340616.11</v>
      </c>
      <c r="D194" s="77"/>
      <c r="E194" s="73"/>
      <c r="F194" s="79"/>
    </row>
    <row r="195" spans="1:6" ht="18.95" customHeight="1" x14ac:dyDescent="0.55000000000000004">
      <c r="A195" s="74" t="s">
        <v>25</v>
      </c>
      <c r="B195" s="75" t="s">
        <v>96</v>
      </c>
      <c r="C195" s="80">
        <v>384000</v>
      </c>
      <c r="D195" s="77"/>
      <c r="E195" s="73"/>
      <c r="F195" s="73"/>
    </row>
    <row r="196" spans="1:6" ht="18.95" customHeight="1" x14ac:dyDescent="0.55000000000000004">
      <c r="A196" s="74" t="s">
        <v>57</v>
      </c>
      <c r="B196" s="75" t="s">
        <v>58</v>
      </c>
      <c r="C196" s="80"/>
      <c r="D196" s="77"/>
      <c r="E196" s="73"/>
      <c r="F196" s="73"/>
    </row>
    <row r="197" spans="1:6" ht="18.95" customHeight="1" x14ac:dyDescent="0.55000000000000004">
      <c r="A197" s="74" t="s">
        <v>59</v>
      </c>
      <c r="B197" s="75" t="s">
        <v>60</v>
      </c>
      <c r="C197" s="78"/>
      <c r="D197" s="77"/>
      <c r="E197" s="73"/>
      <c r="F197" s="73"/>
    </row>
    <row r="198" spans="1:6" ht="18.95" customHeight="1" x14ac:dyDescent="0.55000000000000004">
      <c r="A198" s="74" t="s">
        <v>97</v>
      </c>
      <c r="B198" s="75"/>
      <c r="C198" s="78"/>
      <c r="D198" s="77"/>
      <c r="E198" s="73"/>
      <c r="F198" s="73"/>
    </row>
    <row r="199" spans="1:6" ht="18.95" customHeight="1" x14ac:dyDescent="0.55000000000000004">
      <c r="A199" s="74" t="s">
        <v>591</v>
      </c>
      <c r="B199" s="75"/>
      <c r="C199" s="78">
        <v>4282000</v>
      </c>
      <c r="D199" s="77"/>
      <c r="E199" s="73"/>
      <c r="F199" s="73"/>
    </row>
    <row r="200" spans="1:6" ht="18.95" customHeight="1" x14ac:dyDescent="0.55000000000000004">
      <c r="A200" s="74" t="s">
        <v>98</v>
      </c>
      <c r="B200" s="75" t="s">
        <v>99</v>
      </c>
      <c r="C200" s="76"/>
      <c r="D200" s="77">
        <v>5931271.6900000004</v>
      </c>
      <c r="E200" s="73"/>
      <c r="F200" s="73"/>
    </row>
    <row r="201" spans="1:6" ht="18.95" customHeight="1" x14ac:dyDescent="0.55000000000000004">
      <c r="A201" s="74" t="s">
        <v>100</v>
      </c>
      <c r="B201" s="75"/>
      <c r="C201" s="76"/>
      <c r="D201" s="77">
        <v>501300</v>
      </c>
      <c r="E201" s="73"/>
      <c r="F201" s="73"/>
    </row>
    <row r="202" spans="1:6" ht="18.95" customHeight="1" x14ac:dyDescent="0.55000000000000004">
      <c r="A202" s="74" t="s">
        <v>105</v>
      </c>
      <c r="B202" s="75"/>
      <c r="C202" s="76"/>
      <c r="D202" s="77">
        <v>0</v>
      </c>
      <c r="E202" s="73"/>
      <c r="F202" s="73"/>
    </row>
    <row r="203" spans="1:6" ht="18.95" customHeight="1" x14ac:dyDescent="0.55000000000000004">
      <c r="A203" s="74" t="s">
        <v>71</v>
      </c>
      <c r="B203" s="75"/>
      <c r="C203" s="76"/>
      <c r="D203" s="77">
        <v>0</v>
      </c>
      <c r="E203" s="73"/>
      <c r="F203" s="73"/>
    </row>
    <row r="204" spans="1:6" ht="18.95" customHeight="1" x14ac:dyDescent="0.55000000000000004">
      <c r="A204" s="74" t="s">
        <v>101</v>
      </c>
      <c r="B204" s="75" t="s">
        <v>38</v>
      </c>
      <c r="C204" s="76"/>
      <c r="D204" s="81">
        <f>810415+23192.33+6314.17+4.08+11962.73+12039+165500+36600+16500</f>
        <v>1082527.31</v>
      </c>
      <c r="E204" s="73"/>
      <c r="F204" s="73"/>
    </row>
    <row r="205" spans="1:6" ht="18.95" customHeight="1" x14ac:dyDescent="0.55000000000000004">
      <c r="A205" s="74" t="s">
        <v>33</v>
      </c>
      <c r="B205" s="75" t="s">
        <v>34</v>
      </c>
      <c r="C205" s="76"/>
      <c r="D205" s="81">
        <v>4147047.07</v>
      </c>
      <c r="E205" s="73"/>
      <c r="F205" s="73"/>
    </row>
    <row r="206" spans="1:6" ht="18.95" customHeight="1" x14ac:dyDescent="0.55000000000000004">
      <c r="A206" s="74" t="s">
        <v>102</v>
      </c>
      <c r="B206" s="75" t="s">
        <v>103</v>
      </c>
      <c r="C206" s="76"/>
      <c r="D206" s="77">
        <v>7074869.3600000003</v>
      </c>
      <c r="E206" s="73"/>
      <c r="F206" s="73"/>
    </row>
    <row r="207" spans="1:6" ht="18.95" customHeight="1" x14ac:dyDescent="0.55000000000000004">
      <c r="A207" s="74" t="s">
        <v>594</v>
      </c>
      <c r="B207" s="75"/>
      <c r="C207" s="76"/>
      <c r="D207" s="83">
        <v>1686500</v>
      </c>
      <c r="E207" s="73"/>
      <c r="F207" s="73"/>
    </row>
    <row r="208" spans="1:6" ht="18.95" customHeight="1" x14ac:dyDescent="0.55000000000000004">
      <c r="A208" s="74" t="s">
        <v>595</v>
      </c>
      <c r="B208" s="75"/>
      <c r="C208" s="82"/>
      <c r="D208" s="83">
        <v>273600</v>
      </c>
      <c r="E208" s="73"/>
      <c r="F208" s="73"/>
    </row>
    <row r="209" spans="1:40" ht="18.95" customHeight="1" x14ac:dyDescent="0.55000000000000004">
      <c r="A209" s="74" t="s">
        <v>596</v>
      </c>
      <c r="B209" s="84"/>
      <c r="C209" s="82"/>
      <c r="D209" s="83">
        <v>6790</v>
      </c>
      <c r="E209" s="73"/>
      <c r="F209" s="73"/>
    </row>
    <row r="210" spans="1:40" ht="18.95" customHeight="1" x14ac:dyDescent="0.55000000000000004">
      <c r="A210" s="74" t="s">
        <v>597</v>
      </c>
      <c r="B210" s="84"/>
      <c r="C210" s="82"/>
      <c r="D210" s="83">
        <v>350905</v>
      </c>
      <c r="E210" s="73"/>
      <c r="F210" s="73"/>
    </row>
    <row r="211" spans="1:40" ht="18.95" customHeight="1" x14ac:dyDescent="0.55000000000000004">
      <c r="A211" s="74" t="s">
        <v>604</v>
      </c>
      <c r="B211" s="84"/>
      <c r="C211" s="82"/>
      <c r="D211" s="83">
        <v>50400</v>
      </c>
      <c r="E211" s="73"/>
      <c r="F211" s="73"/>
    </row>
    <row r="212" spans="1:40" ht="18.95" customHeight="1" x14ac:dyDescent="0.55000000000000004">
      <c r="A212" s="74" t="s">
        <v>593</v>
      </c>
      <c r="B212" s="84"/>
      <c r="C212" s="82"/>
      <c r="D212" s="83">
        <v>4282000</v>
      </c>
      <c r="E212" s="73"/>
      <c r="F212" s="73"/>
    </row>
    <row r="213" spans="1:40" ht="18.95" customHeight="1" x14ac:dyDescent="0.55000000000000004">
      <c r="A213" s="537" t="s">
        <v>603</v>
      </c>
      <c r="B213" s="84"/>
      <c r="C213" s="82"/>
      <c r="D213" s="83">
        <v>430</v>
      </c>
      <c r="E213" s="73"/>
      <c r="F213" s="73"/>
    </row>
    <row r="214" spans="1:40" ht="18.95" customHeight="1" x14ac:dyDescent="0.55000000000000004">
      <c r="A214" s="386" t="s">
        <v>543</v>
      </c>
      <c r="B214" s="387"/>
      <c r="C214" s="535"/>
      <c r="D214" s="536">
        <v>50292</v>
      </c>
      <c r="E214" s="73"/>
      <c r="F214" s="73"/>
    </row>
    <row r="215" spans="1:40" ht="18.95" customHeight="1" thickBot="1" x14ac:dyDescent="0.6">
      <c r="A215" s="85"/>
      <c r="B215" s="385"/>
      <c r="C215" s="86">
        <f>SUM(C172:C214)</f>
        <v>25437932.43</v>
      </c>
      <c r="D215" s="87">
        <f>SUM(D172:D214)</f>
        <v>25437932.43</v>
      </c>
      <c r="E215" s="85"/>
      <c r="F215" s="381"/>
    </row>
    <row r="216" spans="1:40" ht="18.95" customHeight="1" thickTop="1" x14ac:dyDescent="0.55000000000000004">
      <c r="A216" s="85"/>
      <c r="B216" s="533"/>
      <c r="C216" s="534"/>
      <c r="D216" s="534"/>
      <c r="E216" s="85"/>
      <c r="F216" s="381"/>
    </row>
    <row r="217" spans="1:40" ht="18.95" customHeight="1" x14ac:dyDescent="0.45">
      <c r="A217" s="376" t="s">
        <v>599</v>
      </c>
      <c r="B217" s="376"/>
      <c r="C217" s="376"/>
      <c r="D217" s="376"/>
      <c r="E217" s="376"/>
      <c r="F217" s="376"/>
    </row>
    <row r="218" spans="1:40" ht="18.95" customHeight="1" x14ac:dyDescent="0.45">
      <c r="A218" s="532" t="s">
        <v>601</v>
      </c>
      <c r="B218" s="376"/>
      <c r="C218" s="376"/>
      <c r="D218" s="376"/>
      <c r="E218" s="376"/>
      <c r="F218" s="376"/>
    </row>
    <row r="219" spans="1:40" ht="18.95" customHeight="1" x14ac:dyDescent="0.45">
      <c r="A219" s="376" t="s">
        <v>598</v>
      </c>
      <c r="B219" s="376"/>
      <c r="C219" s="376"/>
      <c r="D219" s="376"/>
    </row>
    <row r="220" spans="1:40" ht="18.95" customHeight="1" x14ac:dyDescent="0.45">
      <c r="A220" s="376" t="s">
        <v>600</v>
      </c>
    </row>
    <row r="221" spans="1:40" ht="24" x14ac:dyDescent="0.55000000000000004">
      <c r="A221" s="839" t="s">
        <v>76</v>
      </c>
      <c r="B221" s="839"/>
      <c r="C221" s="839"/>
      <c r="D221" s="83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</row>
    <row r="222" spans="1:40" ht="24" x14ac:dyDescent="0.55000000000000004">
      <c r="A222" s="839" t="s">
        <v>77</v>
      </c>
      <c r="B222" s="839"/>
      <c r="C222" s="839"/>
      <c r="D222" s="83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</row>
    <row r="223" spans="1:40" ht="24" x14ac:dyDescent="0.55000000000000004">
      <c r="A223" s="840" t="s">
        <v>608</v>
      </c>
      <c r="B223" s="840"/>
      <c r="C223" s="840"/>
      <c r="D223" s="840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</row>
    <row r="224" spans="1:40" ht="22.5" x14ac:dyDescent="0.45">
      <c r="A224" s="841" t="s">
        <v>10</v>
      </c>
      <c r="B224" s="843" t="s">
        <v>78</v>
      </c>
      <c r="C224" s="845" t="s">
        <v>79</v>
      </c>
      <c r="D224" s="845" t="s">
        <v>80</v>
      </c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</row>
    <row r="225" spans="1:40" ht="22.5" x14ac:dyDescent="0.45">
      <c r="A225" s="842"/>
      <c r="B225" s="844"/>
      <c r="C225" s="846"/>
      <c r="D225" s="846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</row>
    <row r="226" spans="1:40" ht="18.95" customHeight="1" x14ac:dyDescent="0.55000000000000004">
      <c r="A226" s="377" t="s">
        <v>42</v>
      </c>
      <c r="B226" s="378"/>
      <c r="C226" s="379"/>
      <c r="D226" s="380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</row>
    <row r="227" spans="1:40" ht="18.95" customHeight="1" x14ac:dyDescent="0.55000000000000004">
      <c r="A227" s="74" t="s">
        <v>86</v>
      </c>
      <c r="B227" s="75" t="s">
        <v>82</v>
      </c>
      <c r="C227" s="379">
        <v>5059037.9400000004</v>
      </c>
      <c r="D227" s="380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</row>
    <row r="228" spans="1:40" ht="18.95" customHeight="1" x14ac:dyDescent="0.55000000000000004">
      <c r="A228" s="74" t="s">
        <v>83</v>
      </c>
      <c r="B228" s="75" t="s">
        <v>82</v>
      </c>
      <c r="C228" s="90">
        <v>6811453.7999999998</v>
      </c>
      <c r="D228" s="380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</row>
    <row r="229" spans="1:40" ht="18.95" customHeight="1" x14ac:dyDescent="0.55000000000000004">
      <c r="A229" s="74" t="s">
        <v>84</v>
      </c>
      <c r="B229" s="75" t="s">
        <v>85</v>
      </c>
      <c r="C229" s="90">
        <v>6421.6</v>
      </c>
      <c r="D229" s="77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</row>
    <row r="230" spans="1:40" ht="18.95" customHeight="1" x14ac:dyDescent="0.55000000000000004">
      <c r="A230" s="74" t="s">
        <v>81</v>
      </c>
      <c r="B230" s="75" t="s">
        <v>82</v>
      </c>
      <c r="C230" s="90">
        <v>3070.05</v>
      </c>
      <c r="D230" s="77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</row>
    <row r="231" spans="1:40" ht="18.95" customHeight="1" x14ac:dyDescent="0.55000000000000004">
      <c r="A231" s="74" t="s">
        <v>503</v>
      </c>
      <c r="B231" s="75"/>
      <c r="C231" s="90">
        <v>3</v>
      </c>
      <c r="D231" s="77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</row>
    <row r="232" spans="1:40" ht="18.95" customHeight="1" x14ac:dyDescent="0.55000000000000004">
      <c r="A232" s="74" t="s">
        <v>104</v>
      </c>
      <c r="B232" s="75"/>
      <c r="C232" s="91"/>
      <c r="D232" s="77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</row>
    <row r="233" spans="1:40" ht="18.95" customHeight="1" x14ac:dyDescent="0.55000000000000004">
      <c r="A233" s="74" t="s">
        <v>40</v>
      </c>
      <c r="B233" s="75" t="s">
        <v>87</v>
      </c>
      <c r="C233" s="78"/>
      <c r="D233" s="77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</row>
    <row r="234" spans="1:40" ht="18.95" customHeight="1" x14ac:dyDescent="0.55000000000000004">
      <c r="A234" s="74" t="s">
        <v>88</v>
      </c>
      <c r="B234" s="75"/>
      <c r="C234" s="91">
        <v>941964.5</v>
      </c>
      <c r="D234" s="77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</row>
    <row r="235" spans="1:40" ht="18.95" customHeight="1" x14ac:dyDescent="0.55000000000000004">
      <c r="A235" s="74" t="s">
        <v>89</v>
      </c>
      <c r="B235" s="75" t="s">
        <v>36</v>
      </c>
      <c r="C235" s="91">
        <v>57780</v>
      </c>
      <c r="D235" s="77"/>
      <c r="E235" s="73"/>
      <c r="F235" s="73"/>
    </row>
    <row r="236" spans="1:40" ht="18.95" customHeight="1" x14ac:dyDescent="0.55000000000000004">
      <c r="A236" s="74" t="s">
        <v>90</v>
      </c>
      <c r="B236" s="75"/>
      <c r="C236" s="91">
        <v>23400</v>
      </c>
      <c r="D236" s="77"/>
      <c r="E236" s="73"/>
      <c r="F236" s="73"/>
    </row>
    <row r="237" spans="1:40" ht="18.95" customHeight="1" x14ac:dyDescent="0.55000000000000004">
      <c r="A237" s="74" t="s">
        <v>29</v>
      </c>
      <c r="B237" s="75" t="s">
        <v>91</v>
      </c>
      <c r="C237" s="91">
        <v>23914.35</v>
      </c>
      <c r="D237" s="77"/>
      <c r="E237" s="73"/>
      <c r="F237" s="73"/>
    </row>
    <row r="238" spans="1:40" ht="18.95" customHeight="1" x14ac:dyDescent="0.55000000000000004">
      <c r="A238" s="74" t="s">
        <v>30</v>
      </c>
      <c r="B238" s="75" t="s">
        <v>92</v>
      </c>
      <c r="C238" s="91">
        <v>57680.95</v>
      </c>
      <c r="D238" s="77"/>
      <c r="E238" s="73"/>
      <c r="F238" s="73"/>
    </row>
    <row r="239" spans="1:40" ht="18.95" customHeight="1" x14ac:dyDescent="0.55000000000000004">
      <c r="A239" s="74" t="s">
        <v>41</v>
      </c>
      <c r="B239" s="75" t="s">
        <v>45</v>
      </c>
      <c r="C239" s="90">
        <v>837283.8</v>
      </c>
      <c r="D239" s="77"/>
      <c r="E239" s="73"/>
      <c r="F239" s="73"/>
    </row>
    <row r="240" spans="1:40" ht="18.95" customHeight="1" x14ac:dyDescent="0.55000000000000004">
      <c r="A240" s="74" t="s">
        <v>93</v>
      </c>
      <c r="B240" s="75"/>
      <c r="C240" s="90">
        <v>1669500</v>
      </c>
      <c r="D240" s="77"/>
      <c r="E240" s="73"/>
      <c r="F240" s="73"/>
    </row>
    <row r="241" spans="1:6" ht="18.95" customHeight="1" x14ac:dyDescent="0.55000000000000004">
      <c r="A241" s="74" t="s">
        <v>94</v>
      </c>
      <c r="B241" s="75"/>
      <c r="C241" s="90">
        <v>227200</v>
      </c>
      <c r="D241" s="77"/>
      <c r="E241" s="73"/>
      <c r="F241" s="73"/>
    </row>
    <row r="242" spans="1:6" ht="18.95" customHeight="1" x14ac:dyDescent="0.55000000000000004">
      <c r="A242" s="74" t="s">
        <v>46</v>
      </c>
      <c r="B242" s="75" t="s">
        <v>95</v>
      </c>
      <c r="C242" s="90">
        <v>1093600</v>
      </c>
      <c r="D242" s="77"/>
      <c r="E242" s="73"/>
      <c r="F242" s="73"/>
    </row>
    <row r="243" spans="1:6" ht="18.95" customHeight="1" x14ac:dyDescent="0.55000000000000004">
      <c r="A243" s="74" t="s">
        <v>48</v>
      </c>
      <c r="B243" s="75" t="s">
        <v>47</v>
      </c>
      <c r="C243" s="90">
        <v>2214815.37</v>
      </c>
      <c r="D243" s="77"/>
      <c r="E243" s="73"/>
      <c r="F243" s="73"/>
    </row>
    <row r="244" spans="1:6" ht="18.95" customHeight="1" x14ac:dyDescent="0.55000000000000004">
      <c r="A244" s="74" t="s">
        <v>605</v>
      </c>
      <c r="B244" s="75"/>
      <c r="C244" s="90">
        <v>238786.5</v>
      </c>
      <c r="D244" s="77"/>
      <c r="E244" s="73"/>
      <c r="F244" s="73"/>
    </row>
    <row r="245" spans="1:6" ht="18.95" customHeight="1" x14ac:dyDescent="0.55000000000000004">
      <c r="A245" s="74" t="s">
        <v>49</v>
      </c>
      <c r="B245" s="75" t="s">
        <v>51</v>
      </c>
      <c r="C245" s="90">
        <v>58090</v>
      </c>
      <c r="D245" s="77"/>
      <c r="E245" s="73"/>
      <c r="F245" s="73"/>
    </row>
    <row r="246" spans="1:6" ht="18.95" customHeight="1" x14ac:dyDescent="0.55000000000000004">
      <c r="A246" s="74" t="s">
        <v>50</v>
      </c>
      <c r="B246" s="75" t="s">
        <v>53</v>
      </c>
      <c r="C246" s="90">
        <v>924350.73</v>
      </c>
      <c r="D246" s="77"/>
      <c r="E246" s="73"/>
      <c r="F246" s="73"/>
    </row>
    <row r="247" spans="1:6" ht="18.95" customHeight="1" x14ac:dyDescent="0.55000000000000004">
      <c r="A247" s="74" t="s">
        <v>52</v>
      </c>
      <c r="B247" s="75" t="s">
        <v>55</v>
      </c>
      <c r="C247" s="78">
        <v>418001.31</v>
      </c>
      <c r="D247" s="77"/>
      <c r="E247" s="73"/>
      <c r="F247" s="73"/>
    </row>
    <row r="248" spans="1:6" ht="18.95" customHeight="1" x14ac:dyDescent="0.55000000000000004">
      <c r="A248" s="74" t="s">
        <v>54</v>
      </c>
      <c r="B248" s="75" t="s">
        <v>56</v>
      </c>
      <c r="C248" s="78">
        <v>560299.25</v>
      </c>
      <c r="D248" s="77"/>
      <c r="E248" s="73"/>
      <c r="F248" s="79"/>
    </row>
    <row r="249" spans="1:6" ht="18.95" customHeight="1" x14ac:dyDescent="0.55000000000000004">
      <c r="A249" s="74" t="s">
        <v>25</v>
      </c>
      <c r="B249" s="75" t="s">
        <v>96</v>
      </c>
      <c r="C249" s="80">
        <v>384000</v>
      </c>
      <c r="D249" s="77"/>
      <c r="E249" s="73"/>
      <c r="F249" s="73"/>
    </row>
    <row r="250" spans="1:6" ht="18.95" customHeight="1" x14ac:dyDescent="0.55000000000000004">
      <c r="A250" s="74" t="s">
        <v>57</v>
      </c>
      <c r="B250" s="75" t="s">
        <v>58</v>
      </c>
      <c r="C250" s="80">
        <v>223683.23</v>
      </c>
      <c r="D250" s="77"/>
      <c r="E250" s="73"/>
      <c r="F250" s="73"/>
    </row>
    <row r="251" spans="1:6" ht="18.95" customHeight="1" x14ac:dyDescent="0.55000000000000004">
      <c r="A251" s="74" t="s">
        <v>59</v>
      </c>
      <c r="B251" s="75" t="s">
        <v>60</v>
      </c>
      <c r="C251" s="78"/>
      <c r="D251" s="77"/>
      <c r="E251" s="73"/>
      <c r="F251" s="73"/>
    </row>
    <row r="252" spans="1:6" ht="18.95" customHeight="1" x14ac:dyDescent="0.55000000000000004">
      <c r="A252" s="74" t="s">
        <v>97</v>
      </c>
      <c r="B252" s="75"/>
      <c r="C252" s="78"/>
      <c r="D252" s="77"/>
      <c r="E252" s="73"/>
      <c r="F252" s="73"/>
    </row>
    <row r="253" spans="1:6" ht="18.95" customHeight="1" x14ac:dyDescent="0.55000000000000004">
      <c r="A253" s="74" t="s">
        <v>591</v>
      </c>
      <c r="B253" s="75"/>
      <c r="C253" s="78">
        <v>4282000</v>
      </c>
      <c r="D253" s="77"/>
      <c r="E253" s="73"/>
      <c r="F253" s="73"/>
    </row>
    <row r="254" spans="1:6" ht="18.95" customHeight="1" x14ac:dyDescent="0.55000000000000004">
      <c r="A254" s="74" t="s">
        <v>98</v>
      </c>
      <c r="B254" s="75" t="s">
        <v>99</v>
      </c>
      <c r="C254" s="76"/>
      <c r="D254" s="77">
        <v>7857244.0700000003</v>
      </c>
      <c r="E254" s="73"/>
      <c r="F254" s="73"/>
    </row>
    <row r="255" spans="1:6" ht="18.95" customHeight="1" x14ac:dyDescent="0.55000000000000004">
      <c r="A255" s="74" t="s">
        <v>100</v>
      </c>
      <c r="B255" s="75"/>
      <c r="C255" s="76"/>
      <c r="D255" s="77">
        <v>442300</v>
      </c>
      <c r="E255" s="73"/>
      <c r="F255" s="73"/>
    </row>
    <row r="256" spans="1:6" ht="18.95" customHeight="1" x14ac:dyDescent="0.55000000000000004">
      <c r="A256" s="74" t="s">
        <v>105</v>
      </c>
      <c r="B256" s="75"/>
      <c r="C256" s="76"/>
      <c r="D256" s="77">
        <v>0</v>
      </c>
      <c r="E256" s="73"/>
      <c r="F256" s="73"/>
    </row>
    <row r="257" spans="1:6" ht="18.95" customHeight="1" x14ac:dyDescent="0.55000000000000004">
      <c r="A257" s="74" t="s">
        <v>71</v>
      </c>
      <c r="B257" s="75"/>
      <c r="C257" s="76"/>
      <c r="D257" s="77">
        <v>0</v>
      </c>
      <c r="E257" s="73"/>
      <c r="F257" s="73"/>
    </row>
    <row r="258" spans="1:6" ht="18.95" customHeight="1" x14ac:dyDescent="0.55000000000000004">
      <c r="A258" s="74" t="s">
        <v>101</v>
      </c>
      <c r="B258" s="75" t="s">
        <v>38</v>
      </c>
      <c r="C258" s="76"/>
      <c r="D258" s="81">
        <f>851793+23333.28+6314.17+4.08+28586.35+11467+165500+36600+16500</f>
        <v>1140097.8799999999</v>
      </c>
      <c r="E258" s="73"/>
      <c r="F258" s="73"/>
    </row>
    <row r="259" spans="1:6" ht="18.95" customHeight="1" x14ac:dyDescent="0.55000000000000004">
      <c r="A259" s="74" t="s">
        <v>33</v>
      </c>
      <c r="B259" s="75" t="s">
        <v>34</v>
      </c>
      <c r="C259" s="76"/>
      <c r="D259" s="81">
        <v>3195047.07</v>
      </c>
      <c r="E259" s="73"/>
      <c r="F259" s="73"/>
    </row>
    <row r="260" spans="1:6" ht="18.95" customHeight="1" x14ac:dyDescent="0.55000000000000004">
      <c r="A260" s="74" t="s">
        <v>102</v>
      </c>
      <c r="B260" s="75" t="s">
        <v>103</v>
      </c>
      <c r="C260" s="76"/>
      <c r="D260" s="77">
        <v>6679869.3600000003</v>
      </c>
      <c r="E260" s="73"/>
      <c r="F260" s="73"/>
    </row>
    <row r="261" spans="1:6" ht="18.95" customHeight="1" x14ac:dyDescent="0.55000000000000004">
      <c r="A261" s="74" t="s">
        <v>594</v>
      </c>
      <c r="B261" s="75"/>
      <c r="C261" s="76"/>
      <c r="D261" s="83">
        <v>1686500</v>
      </c>
      <c r="E261" s="73"/>
      <c r="F261" s="73"/>
    </row>
    <row r="262" spans="1:6" ht="18.95" customHeight="1" x14ac:dyDescent="0.55000000000000004">
      <c r="A262" s="74" t="s">
        <v>595</v>
      </c>
      <c r="B262" s="75"/>
      <c r="C262" s="82"/>
      <c r="D262" s="83">
        <v>273600</v>
      </c>
      <c r="E262" s="73"/>
      <c r="F262" s="73"/>
    </row>
    <row r="263" spans="1:6" ht="18.95" customHeight="1" x14ac:dyDescent="0.55000000000000004">
      <c r="A263" s="74" t="s">
        <v>596</v>
      </c>
      <c r="B263" s="84"/>
      <c r="C263" s="82"/>
      <c r="D263" s="83">
        <v>6790</v>
      </c>
      <c r="E263" s="73"/>
      <c r="F263" s="73"/>
    </row>
    <row r="264" spans="1:6" ht="18.95" customHeight="1" x14ac:dyDescent="0.55000000000000004">
      <c r="A264" s="74" t="s">
        <v>597</v>
      </c>
      <c r="B264" s="84"/>
      <c r="C264" s="82"/>
      <c r="D264" s="83">
        <v>350905</v>
      </c>
      <c r="E264" s="73"/>
      <c r="F264" s="73"/>
    </row>
    <row r="265" spans="1:6" ht="18.95" customHeight="1" x14ac:dyDescent="0.55000000000000004">
      <c r="A265" s="74" t="s">
        <v>604</v>
      </c>
      <c r="B265" s="84"/>
      <c r="C265" s="82"/>
      <c r="D265" s="83">
        <v>50400</v>
      </c>
      <c r="E265" s="73"/>
      <c r="F265" s="73"/>
    </row>
    <row r="266" spans="1:6" ht="18.95" customHeight="1" x14ac:dyDescent="0.55000000000000004">
      <c r="A266" s="74" t="s">
        <v>593</v>
      </c>
      <c r="B266" s="84"/>
      <c r="C266" s="82"/>
      <c r="D266" s="83">
        <v>4282000</v>
      </c>
      <c r="E266" s="73"/>
      <c r="F266" s="73"/>
    </row>
    <row r="267" spans="1:6" ht="18.95" customHeight="1" x14ac:dyDescent="0.55000000000000004">
      <c r="A267" s="537" t="s">
        <v>603</v>
      </c>
      <c r="B267" s="84"/>
      <c r="C267" s="82"/>
      <c r="D267" s="83">
        <v>25131</v>
      </c>
      <c r="E267" s="73"/>
      <c r="F267" s="73"/>
    </row>
    <row r="268" spans="1:6" ht="18.95" customHeight="1" x14ac:dyDescent="0.55000000000000004">
      <c r="A268" s="537" t="s">
        <v>543</v>
      </c>
      <c r="B268" s="84"/>
      <c r="C268" s="82"/>
      <c r="D268" s="83">
        <v>76160</v>
      </c>
      <c r="E268" s="73"/>
      <c r="F268" s="73"/>
    </row>
    <row r="269" spans="1:6" ht="18.95" customHeight="1" x14ac:dyDescent="0.55000000000000004">
      <c r="A269" s="386" t="s">
        <v>609</v>
      </c>
      <c r="B269" s="387"/>
      <c r="C269" s="535"/>
      <c r="D269" s="536">
        <v>50292</v>
      </c>
      <c r="E269" s="73"/>
      <c r="F269" s="73"/>
    </row>
    <row r="270" spans="1:6" ht="18.95" customHeight="1" thickBot="1" x14ac:dyDescent="0.6">
      <c r="A270" s="85"/>
      <c r="B270" s="385"/>
      <c r="C270" s="86">
        <f>SUM(C226:C269)</f>
        <v>26116336.380000003</v>
      </c>
      <c r="D270" s="87">
        <f>SUM(D226:D269)</f>
        <v>26116336.379999999</v>
      </c>
      <c r="E270" s="85"/>
      <c r="F270" s="381"/>
    </row>
    <row r="271" spans="1:6" ht="18.95" customHeight="1" thickTop="1" x14ac:dyDescent="0.55000000000000004">
      <c r="A271" s="85"/>
      <c r="B271" s="533"/>
      <c r="C271" s="534"/>
      <c r="D271" s="534"/>
      <c r="E271" s="85"/>
      <c r="F271" s="381"/>
    </row>
    <row r="272" spans="1:6" ht="18.95" customHeight="1" x14ac:dyDescent="0.45">
      <c r="A272" s="376" t="s">
        <v>599</v>
      </c>
      <c r="B272" s="376"/>
      <c r="C272" s="376"/>
      <c r="D272" s="376"/>
      <c r="E272" s="376"/>
      <c r="F272" s="376"/>
    </row>
    <row r="273" spans="1:40" ht="18.95" customHeight="1" x14ac:dyDescent="0.45">
      <c r="A273" s="532" t="s">
        <v>601</v>
      </c>
      <c r="B273" s="376"/>
      <c r="C273" s="376"/>
      <c r="D273" s="376"/>
      <c r="E273" s="376"/>
      <c r="F273" s="376"/>
    </row>
    <row r="274" spans="1:40" ht="18.95" customHeight="1" x14ac:dyDescent="0.45">
      <c r="A274" s="376" t="s">
        <v>598</v>
      </c>
      <c r="B274" s="376"/>
      <c r="C274" s="376"/>
      <c r="D274" s="376"/>
    </row>
    <row r="275" spans="1:40" ht="18.95" customHeight="1" x14ac:dyDescent="0.45">
      <c r="A275" s="376" t="s">
        <v>600</v>
      </c>
    </row>
    <row r="277" spans="1:40" ht="24" x14ac:dyDescent="0.55000000000000004">
      <c r="A277" s="839" t="s">
        <v>76</v>
      </c>
      <c r="B277" s="839"/>
      <c r="C277" s="839"/>
      <c r="D277" s="839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</row>
    <row r="278" spans="1:40" ht="24" x14ac:dyDescent="0.55000000000000004">
      <c r="A278" s="839" t="s">
        <v>77</v>
      </c>
      <c r="B278" s="839"/>
      <c r="C278" s="839"/>
      <c r="D278" s="839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</row>
    <row r="279" spans="1:40" ht="24" x14ac:dyDescent="0.55000000000000004">
      <c r="A279" s="840" t="s">
        <v>610</v>
      </c>
      <c r="B279" s="840"/>
      <c r="C279" s="840"/>
      <c r="D279" s="840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</row>
    <row r="280" spans="1:40" ht="22.5" x14ac:dyDescent="0.45">
      <c r="A280" s="841" t="s">
        <v>10</v>
      </c>
      <c r="B280" s="843" t="s">
        <v>78</v>
      </c>
      <c r="C280" s="845" t="s">
        <v>79</v>
      </c>
      <c r="D280" s="845" t="s">
        <v>80</v>
      </c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</row>
    <row r="281" spans="1:40" ht="22.5" x14ac:dyDescent="0.45">
      <c r="A281" s="842"/>
      <c r="B281" s="844"/>
      <c r="C281" s="846"/>
      <c r="D281" s="846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</row>
    <row r="282" spans="1:40" ht="18.95" customHeight="1" x14ac:dyDescent="0.55000000000000004">
      <c r="A282" s="377" t="s">
        <v>42</v>
      </c>
      <c r="B282" s="378"/>
      <c r="C282" s="379"/>
      <c r="D282" s="380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</row>
    <row r="283" spans="1:40" ht="18.95" customHeight="1" x14ac:dyDescent="0.55000000000000004">
      <c r="A283" s="74" t="s">
        <v>86</v>
      </c>
      <c r="B283" s="75" t="s">
        <v>82</v>
      </c>
      <c r="C283" s="379">
        <v>5861955.7699999996</v>
      </c>
      <c r="D283" s="380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</row>
    <row r="284" spans="1:40" ht="18.95" customHeight="1" x14ac:dyDescent="0.55000000000000004">
      <c r="A284" s="74" t="s">
        <v>83</v>
      </c>
      <c r="B284" s="75" t="s">
        <v>82</v>
      </c>
      <c r="C284" s="90">
        <v>7333471.3200000003</v>
      </c>
      <c r="D284" s="380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</row>
    <row r="285" spans="1:40" ht="18.95" customHeight="1" x14ac:dyDescent="0.55000000000000004">
      <c r="A285" s="74" t="s">
        <v>84</v>
      </c>
      <c r="B285" s="75" t="s">
        <v>85</v>
      </c>
      <c r="C285" s="90">
        <v>6437.59</v>
      </c>
      <c r="D285" s="77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</row>
    <row r="286" spans="1:40" ht="18.95" customHeight="1" x14ac:dyDescent="0.55000000000000004">
      <c r="A286" s="74" t="s">
        <v>81</v>
      </c>
      <c r="B286" s="75" t="s">
        <v>82</v>
      </c>
      <c r="C286" s="90">
        <v>3077.69</v>
      </c>
      <c r="D286" s="77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</row>
    <row r="287" spans="1:40" ht="18.95" customHeight="1" x14ac:dyDescent="0.55000000000000004">
      <c r="A287" s="74" t="s">
        <v>503</v>
      </c>
      <c r="B287" s="75"/>
      <c r="C287" s="90">
        <v>3</v>
      </c>
      <c r="D287" s="77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</row>
    <row r="288" spans="1:40" ht="18.95" customHeight="1" x14ac:dyDescent="0.55000000000000004">
      <c r="A288" s="74" t="s">
        <v>104</v>
      </c>
      <c r="B288" s="75"/>
      <c r="C288" s="91"/>
      <c r="D288" s="77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</row>
    <row r="289" spans="1:40" ht="18.95" customHeight="1" x14ac:dyDescent="0.55000000000000004">
      <c r="A289" s="74" t="s">
        <v>40</v>
      </c>
      <c r="B289" s="75" t="s">
        <v>87</v>
      </c>
      <c r="C289" s="78"/>
      <c r="D289" s="77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</row>
    <row r="290" spans="1:40" ht="18.95" customHeight="1" x14ac:dyDescent="0.55000000000000004">
      <c r="A290" s="74" t="s">
        <v>88</v>
      </c>
      <c r="B290" s="75"/>
      <c r="C290" s="91">
        <v>941964.5</v>
      </c>
      <c r="D290" s="77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</row>
    <row r="291" spans="1:40" ht="18.95" customHeight="1" x14ac:dyDescent="0.55000000000000004">
      <c r="A291" s="74" t="s">
        <v>89</v>
      </c>
      <c r="B291" s="75" t="s">
        <v>36</v>
      </c>
      <c r="C291" s="91">
        <v>387480</v>
      </c>
      <c r="D291" s="77"/>
      <c r="E291" s="73"/>
      <c r="F291" s="73"/>
    </row>
    <row r="292" spans="1:40" ht="18.95" customHeight="1" x14ac:dyDescent="0.55000000000000004">
      <c r="A292" s="74" t="s">
        <v>90</v>
      </c>
      <c r="B292" s="75"/>
      <c r="C292" s="91"/>
      <c r="D292" s="77"/>
      <c r="E292" s="73"/>
      <c r="F292" s="73"/>
    </row>
    <row r="293" spans="1:40" ht="18.95" customHeight="1" x14ac:dyDescent="0.55000000000000004">
      <c r="A293" s="74" t="s">
        <v>29</v>
      </c>
      <c r="B293" s="75" t="s">
        <v>91</v>
      </c>
      <c r="C293" s="91">
        <v>17398.3</v>
      </c>
      <c r="D293" s="77"/>
      <c r="E293" s="73"/>
      <c r="F293" s="73"/>
    </row>
    <row r="294" spans="1:40" ht="18.95" customHeight="1" x14ac:dyDescent="0.55000000000000004">
      <c r="A294" s="74" t="s">
        <v>30</v>
      </c>
      <c r="B294" s="75" t="s">
        <v>92</v>
      </c>
      <c r="C294" s="91">
        <v>57680.95</v>
      </c>
      <c r="D294" s="77"/>
      <c r="E294" s="73"/>
      <c r="F294" s="73"/>
    </row>
    <row r="295" spans="1:40" ht="18.95" customHeight="1" x14ac:dyDescent="0.55000000000000004">
      <c r="A295" s="74" t="s">
        <v>41</v>
      </c>
      <c r="B295" s="75" t="s">
        <v>45</v>
      </c>
      <c r="C295" s="90">
        <v>860776.4</v>
      </c>
      <c r="D295" s="77"/>
      <c r="E295" s="73"/>
      <c r="F295" s="73"/>
    </row>
    <row r="296" spans="1:40" ht="18.95" customHeight="1" x14ac:dyDescent="0.55000000000000004">
      <c r="A296" s="74" t="s">
        <v>93</v>
      </c>
      <c r="B296" s="75"/>
      <c r="C296" s="90">
        <v>1669500</v>
      </c>
      <c r="D296" s="77"/>
      <c r="E296" s="73"/>
      <c r="F296" s="73"/>
    </row>
    <row r="297" spans="1:40" ht="18.95" customHeight="1" x14ac:dyDescent="0.55000000000000004">
      <c r="A297" s="74" t="s">
        <v>94</v>
      </c>
      <c r="B297" s="75"/>
      <c r="C297" s="90">
        <v>272000</v>
      </c>
      <c r="D297" s="77"/>
      <c r="E297" s="73"/>
      <c r="F297" s="73"/>
    </row>
    <row r="298" spans="1:40" ht="18.95" customHeight="1" x14ac:dyDescent="0.55000000000000004">
      <c r="A298" s="74" t="s">
        <v>46</v>
      </c>
      <c r="B298" s="75" t="s">
        <v>95</v>
      </c>
      <c r="C298" s="90">
        <v>1312320</v>
      </c>
      <c r="D298" s="77"/>
      <c r="E298" s="73"/>
      <c r="F298" s="73"/>
    </row>
    <row r="299" spans="1:40" ht="18.95" customHeight="1" x14ac:dyDescent="0.55000000000000004">
      <c r="A299" s="74" t="s">
        <v>48</v>
      </c>
      <c r="B299" s="75" t="s">
        <v>47</v>
      </c>
      <c r="C299" s="90">
        <v>2624840.37</v>
      </c>
      <c r="D299" s="77"/>
      <c r="E299" s="73"/>
      <c r="F299" s="73"/>
    </row>
    <row r="300" spans="1:40" ht="18.95" customHeight="1" x14ac:dyDescent="0.55000000000000004">
      <c r="A300" s="74" t="s">
        <v>605</v>
      </c>
      <c r="B300" s="75"/>
      <c r="C300" s="90">
        <v>300226.5</v>
      </c>
      <c r="D300" s="77"/>
      <c r="E300" s="73"/>
      <c r="F300" s="73"/>
    </row>
    <row r="301" spans="1:40" ht="18.95" customHeight="1" x14ac:dyDescent="0.55000000000000004">
      <c r="A301" s="74" t="s">
        <v>49</v>
      </c>
      <c r="B301" s="75" t="s">
        <v>51</v>
      </c>
      <c r="C301" s="90">
        <v>61590</v>
      </c>
      <c r="D301" s="77"/>
      <c r="E301" s="73"/>
      <c r="F301" s="73"/>
    </row>
    <row r="302" spans="1:40" ht="18.95" customHeight="1" x14ac:dyDescent="0.55000000000000004">
      <c r="A302" s="74" t="s">
        <v>50</v>
      </c>
      <c r="B302" s="75" t="s">
        <v>53</v>
      </c>
      <c r="C302" s="90">
        <v>1008756.73</v>
      </c>
      <c r="D302" s="77"/>
      <c r="E302" s="73"/>
      <c r="F302" s="73"/>
    </row>
    <row r="303" spans="1:40" ht="18.95" customHeight="1" x14ac:dyDescent="0.55000000000000004">
      <c r="A303" s="74" t="s">
        <v>52</v>
      </c>
      <c r="B303" s="75" t="s">
        <v>55</v>
      </c>
      <c r="C303" s="78">
        <v>457509.57</v>
      </c>
      <c r="D303" s="77"/>
      <c r="E303" s="73"/>
      <c r="F303" s="73"/>
    </row>
    <row r="304" spans="1:40" ht="18.95" customHeight="1" x14ac:dyDescent="0.55000000000000004">
      <c r="A304" s="74" t="s">
        <v>54</v>
      </c>
      <c r="B304" s="75" t="s">
        <v>56</v>
      </c>
      <c r="C304" s="78">
        <v>680376.11</v>
      </c>
      <c r="D304" s="77"/>
      <c r="E304" s="73"/>
      <c r="F304" s="79"/>
    </row>
    <row r="305" spans="1:6" ht="18.95" customHeight="1" x14ac:dyDescent="0.55000000000000004">
      <c r="A305" s="74" t="s">
        <v>25</v>
      </c>
      <c r="B305" s="75" t="s">
        <v>96</v>
      </c>
      <c r="C305" s="80">
        <v>384000</v>
      </c>
      <c r="D305" s="77"/>
      <c r="E305" s="73"/>
      <c r="F305" s="73"/>
    </row>
    <row r="306" spans="1:6" ht="18.95" customHeight="1" x14ac:dyDescent="0.55000000000000004">
      <c r="A306" s="74" t="s">
        <v>57</v>
      </c>
      <c r="B306" s="75" t="s">
        <v>58</v>
      </c>
      <c r="C306" s="80">
        <v>223683.23</v>
      </c>
      <c r="D306" s="77"/>
      <c r="E306" s="73"/>
      <c r="F306" s="73"/>
    </row>
    <row r="307" spans="1:6" ht="18.95" customHeight="1" x14ac:dyDescent="0.55000000000000004">
      <c r="A307" s="74" t="s">
        <v>59</v>
      </c>
      <c r="B307" s="75" t="s">
        <v>60</v>
      </c>
      <c r="C307" s="78">
        <v>1836000</v>
      </c>
      <c r="D307" s="77"/>
      <c r="E307" s="73"/>
      <c r="F307" s="73"/>
    </row>
    <row r="308" spans="1:6" ht="18.95" customHeight="1" x14ac:dyDescent="0.55000000000000004">
      <c r="A308" s="74" t="s">
        <v>97</v>
      </c>
      <c r="B308" s="75"/>
      <c r="C308" s="78"/>
      <c r="D308" s="77"/>
      <c r="E308" s="73"/>
      <c r="F308" s="73"/>
    </row>
    <row r="309" spans="1:6" ht="18.95" customHeight="1" x14ac:dyDescent="0.55000000000000004">
      <c r="A309" s="74" t="s">
        <v>591</v>
      </c>
      <c r="B309" s="75"/>
      <c r="C309" s="78">
        <v>4282000</v>
      </c>
      <c r="D309" s="77"/>
      <c r="E309" s="73"/>
      <c r="F309" s="73"/>
    </row>
    <row r="310" spans="1:6" ht="18.95" customHeight="1" x14ac:dyDescent="0.55000000000000004">
      <c r="A310" s="74" t="s">
        <v>98</v>
      </c>
      <c r="B310" s="75" t="s">
        <v>99</v>
      </c>
      <c r="C310" s="76"/>
      <c r="D310" s="77">
        <v>13167069.300000001</v>
      </c>
      <c r="E310" s="73"/>
      <c r="F310" s="73"/>
    </row>
    <row r="311" spans="1:6" ht="18.95" customHeight="1" x14ac:dyDescent="0.55000000000000004">
      <c r="A311" s="74" t="s">
        <v>100</v>
      </c>
      <c r="B311" s="75"/>
      <c r="C311" s="76"/>
      <c r="D311" s="77">
        <v>1300</v>
      </c>
      <c r="E311" s="73"/>
      <c r="F311" s="73"/>
    </row>
    <row r="312" spans="1:6" ht="18.95" customHeight="1" x14ac:dyDescent="0.55000000000000004">
      <c r="A312" s="74" t="s">
        <v>105</v>
      </c>
      <c r="B312" s="75"/>
      <c r="C312" s="76"/>
      <c r="D312" s="77">
        <v>0</v>
      </c>
      <c r="E312" s="73"/>
      <c r="F312" s="73"/>
    </row>
    <row r="313" spans="1:6" ht="18.95" customHeight="1" x14ac:dyDescent="0.55000000000000004">
      <c r="A313" s="74" t="s">
        <v>71</v>
      </c>
      <c r="B313" s="75"/>
      <c r="C313" s="76"/>
      <c r="D313" s="77">
        <v>0</v>
      </c>
      <c r="E313" s="73"/>
      <c r="F313" s="73"/>
    </row>
    <row r="314" spans="1:6" ht="18.95" customHeight="1" x14ac:dyDescent="0.55000000000000004">
      <c r="A314" s="74" t="s">
        <v>101</v>
      </c>
      <c r="B314" s="75" t="s">
        <v>38</v>
      </c>
      <c r="C314" s="76"/>
      <c r="D314" s="81">
        <f>857078+24773.88+6314.17+4.08+31992.17+11467+165500+36600+16500</f>
        <v>1150229.3</v>
      </c>
      <c r="E314" s="73"/>
      <c r="F314" s="73"/>
    </row>
    <row r="315" spans="1:6" ht="18.95" customHeight="1" x14ac:dyDescent="0.55000000000000004">
      <c r="A315" s="74" t="s">
        <v>33</v>
      </c>
      <c r="B315" s="75" t="s">
        <v>34</v>
      </c>
      <c r="C315" s="76"/>
      <c r="D315" s="81">
        <v>2799773.07</v>
      </c>
      <c r="E315" s="73"/>
      <c r="F315" s="73"/>
    </row>
    <row r="316" spans="1:6" ht="18.95" customHeight="1" x14ac:dyDescent="0.55000000000000004">
      <c r="A316" s="74" t="s">
        <v>102</v>
      </c>
      <c r="B316" s="75" t="s">
        <v>103</v>
      </c>
      <c r="C316" s="76"/>
      <c r="D316" s="77">
        <v>6679869.3600000003</v>
      </c>
      <c r="E316" s="73"/>
      <c r="F316" s="73"/>
    </row>
    <row r="317" spans="1:6" ht="18.95" customHeight="1" x14ac:dyDescent="0.55000000000000004">
      <c r="A317" s="74" t="s">
        <v>594</v>
      </c>
      <c r="B317" s="75"/>
      <c r="C317" s="76"/>
      <c r="D317" s="83">
        <v>1686500</v>
      </c>
      <c r="E317" s="73"/>
      <c r="F317" s="73"/>
    </row>
    <row r="318" spans="1:6" ht="18.95" customHeight="1" x14ac:dyDescent="0.55000000000000004">
      <c r="A318" s="74" t="s">
        <v>595</v>
      </c>
      <c r="B318" s="75"/>
      <c r="C318" s="82"/>
      <c r="D318" s="83">
        <v>273600</v>
      </c>
      <c r="E318" s="73"/>
      <c r="F318" s="73"/>
    </row>
    <row r="319" spans="1:6" ht="18.95" customHeight="1" x14ac:dyDescent="0.55000000000000004">
      <c r="A319" s="74" t="s">
        <v>596</v>
      </c>
      <c r="B319" s="84"/>
      <c r="C319" s="82"/>
      <c r="D319" s="83">
        <v>6790</v>
      </c>
      <c r="E319" s="73"/>
      <c r="F319" s="73"/>
    </row>
    <row r="320" spans="1:6" ht="18.95" customHeight="1" x14ac:dyDescent="0.55000000000000004">
      <c r="A320" s="74" t="s">
        <v>597</v>
      </c>
      <c r="B320" s="84"/>
      <c r="C320" s="82"/>
      <c r="D320" s="83">
        <v>350905</v>
      </c>
      <c r="E320" s="73"/>
      <c r="F320" s="73"/>
    </row>
    <row r="321" spans="1:40" ht="18.95" customHeight="1" x14ac:dyDescent="0.55000000000000004">
      <c r="A321" s="74" t="s">
        <v>604</v>
      </c>
      <c r="B321" s="84"/>
      <c r="C321" s="82"/>
      <c r="D321" s="83">
        <v>50400</v>
      </c>
      <c r="E321" s="73"/>
      <c r="F321" s="73"/>
    </row>
    <row r="322" spans="1:40" ht="18.95" customHeight="1" x14ac:dyDescent="0.55000000000000004">
      <c r="A322" s="74" t="s">
        <v>636</v>
      </c>
      <c r="B322" s="84"/>
      <c r="C322" s="82"/>
      <c r="D322" s="83">
        <v>4282000</v>
      </c>
      <c r="E322" s="73"/>
      <c r="F322" s="73"/>
    </row>
    <row r="323" spans="1:40" ht="18.95" customHeight="1" x14ac:dyDescent="0.55000000000000004">
      <c r="A323" s="537" t="s">
        <v>603</v>
      </c>
      <c r="B323" s="84"/>
      <c r="C323" s="82"/>
      <c r="D323" s="83"/>
      <c r="E323" s="73"/>
      <c r="F323" s="73"/>
    </row>
    <row r="324" spans="1:40" ht="18.95" customHeight="1" x14ac:dyDescent="0.55000000000000004">
      <c r="A324" s="537" t="s">
        <v>543</v>
      </c>
      <c r="B324" s="84"/>
      <c r="C324" s="82"/>
      <c r="D324" s="83">
        <v>84320</v>
      </c>
      <c r="E324" s="73"/>
      <c r="F324" s="73"/>
    </row>
    <row r="325" spans="1:40" ht="18.95" customHeight="1" x14ac:dyDescent="0.55000000000000004">
      <c r="A325" s="386" t="s">
        <v>609</v>
      </c>
      <c r="B325" s="387"/>
      <c r="C325" s="535"/>
      <c r="D325" s="536">
        <v>50292</v>
      </c>
      <c r="E325" s="73"/>
      <c r="F325" s="73"/>
    </row>
    <row r="326" spans="1:40" ht="18.95" customHeight="1" thickBot="1" x14ac:dyDescent="0.6">
      <c r="A326" s="85"/>
      <c r="B326" s="385"/>
      <c r="C326" s="86">
        <f>SUM(C282:C325)</f>
        <v>30583048.030000001</v>
      </c>
      <c r="D326" s="87">
        <f>SUM(D282:D325)</f>
        <v>30583048.030000001</v>
      </c>
      <c r="E326" s="85"/>
      <c r="F326" s="381"/>
    </row>
    <row r="327" spans="1:40" ht="18.95" customHeight="1" thickTop="1" x14ac:dyDescent="0.55000000000000004">
      <c r="A327" s="85"/>
      <c r="B327" s="533"/>
      <c r="C327" s="534"/>
      <c r="D327" s="534"/>
      <c r="E327" s="85"/>
      <c r="F327" s="381"/>
    </row>
    <row r="328" spans="1:40" ht="18.95" customHeight="1" x14ac:dyDescent="0.45">
      <c r="A328" s="376" t="s">
        <v>599</v>
      </c>
      <c r="B328" s="376"/>
      <c r="C328" s="376"/>
      <c r="D328" s="376"/>
      <c r="E328" s="376"/>
      <c r="F328" s="376"/>
    </row>
    <row r="329" spans="1:40" ht="18.95" customHeight="1" x14ac:dyDescent="0.45">
      <c r="A329" s="532" t="s">
        <v>601</v>
      </c>
      <c r="B329" s="376"/>
      <c r="C329" s="376"/>
      <c r="D329" s="376"/>
      <c r="E329" s="376"/>
      <c r="F329" s="376"/>
    </row>
    <row r="330" spans="1:40" ht="18.95" customHeight="1" x14ac:dyDescent="0.45">
      <c r="A330" s="376" t="s">
        <v>598</v>
      </c>
      <c r="B330" s="376"/>
      <c r="C330" s="376"/>
      <c r="D330" s="376"/>
    </row>
    <row r="331" spans="1:40" ht="18.95" customHeight="1" x14ac:dyDescent="0.45">
      <c r="A331" s="376" t="s">
        <v>600</v>
      </c>
    </row>
    <row r="333" spans="1:40" ht="24" x14ac:dyDescent="0.55000000000000004">
      <c r="A333" s="839" t="s">
        <v>76</v>
      </c>
      <c r="B333" s="839"/>
      <c r="C333" s="839"/>
      <c r="D333" s="839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</row>
    <row r="334" spans="1:40" ht="24" x14ac:dyDescent="0.55000000000000004">
      <c r="A334" s="839" t="s">
        <v>77</v>
      </c>
      <c r="B334" s="839"/>
      <c r="C334" s="839"/>
      <c r="D334" s="839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</row>
    <row r="335" spans="1:40" ht="24" x14ac:dyDescent="0.55000000000000004">
      <c r="A335" s="840" t="s">
        <v>637</v>
      </c>
      <c r="B335" s="840"/>
      <c r="C335" s="840"/>
      <c r="D335" s="840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</row>
    <row r="336" spans="1:40" ht="22.5" x14ac:dyDescent="0.45">
      <c r="A336" s="841" t="s">
        <v>10</v>
      </c>
      <c r="B336" s="843" t="s">
        <v>78</v>
      </c>
      <c r="C336" s="845" t="s">
        <v>79</v>
      </c>
      <c r="D336" s="845" t="s">
        <v>80</v>
      </c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</row>
    <row r="337" spans="1:40" ht="9" customHeight="1" x14ac:dyDescent="0.45">
      <c r="A337" s="842"/>
      <c r="B337" s="844"/>
      <c r="C337" s="846"/>
      <c r="D337" s="846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</row>
    <row r="338" spans="1:40" ht="18.95" customHeight="1" x14ac:dyDescent="0.55000000000000004">
      <c r="A338" s="377" t="s">
        <v>42</v>
      </c>
      <c r="B338" s="378"/>
      <c r="C338" s="379"/>
      <c r="D338" s="380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</row>
    <row r="339" spans="1:40" ht="18.95" customHeight="1" x14ac:dyDescent="0.55000000000000004">
      <c r="A339" s="74" t="s">
        <v>86</v>
      </c>
      <c r="B339" s="75" t="s">
        <v>82</v>
      </c>
      <c r="C339" s="379">
        <v>6949214.3200000003</v>
      </c>
      <c r="D339" s="380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</row>
    <row r="340" spans="1:40" ht="18.95" customHeight="1" x14ac:dyDescent="0.55000000000000004">
      <c r="A340" s="74" t="s">
        <v>83</v>
      </c>
      <c r="B340" s="75" t="s">
        <v>82</v>
      </c>
      <c r="C340" s="90">
        <v>7517488.9000000004</v>
      </c>
      <c r="D340" s="380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</row>
    <row r="341" spans="1:40" ht="18.95" customHeight="1" x14ac:dyDescent="0.55000000000000004">
      <c r="A341" s="74" t="s">
        <v>84</v>
      </c>
      <c r="B341" s="75" t="s">
        <v>85</v>
      </c>
      <c r="C341" s="90">
        <v>6437.59</v>
      </c>
      <c r="D341" s="77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</row>
    <row r="342" spans="1:40" ht="18.95" customHeight="1" x14ac:dyDescent="0.55000000000000004">
      <c r="A342" s="74" t="s">
        <v>81</v>
      </c>
      <c r="B342" s="75" t="s">
        <v>82</v>
      </c>
      <c r="C342" s="90">
        <v>3077.69</v>
      </c>
      <c r="D342" s="77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</row>
    <row r="343" spans="1:40" ht="18.95" customHeight="1" x14ac:dyDescent="0.55000000000000004">
      <c r="A343" s="74" t="s">
        <v>503</v>
      </c>
      <c r="B343" s="75"/>
      <c r="C343" s="90"/>
      <c r="D343" s="77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</row>
    <row r="344" spans="1:40" ht="18.95" customHeight="1" x14ac:dyDescent="0.55000000000000004">
      <c r="A344" s="74" t="s">
        <v>104</v>
      </c>
      <c r="B344" s="75"/>
      <c r="C344" s="91"/>
      <c r="D344" s="77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</row>
    <row r="345" spans="1:40" ht="18.95" customHeight="1" x14ac:dyDescent="0.55000000000000004">
      <c r="A345" s="74" t="s">
        <v>40</v>
      </c>
      <c r="B345" s="75" t="s">
        <v>87</v>
      </c>
      <c r="C345" s="78"/>
      <c r="D345" s="77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</row>
    <row r="346" spans="1:40" ht="18.95" customHeight="1" x14ac:dyDescent="0.55000000000000004">
      <c r="A346" s="74" t="s">
        <v>88</v>
      </c>
      <c r="B346" s="75"/>
      <c r="C346" s="91">
        <v>941964.5</v>
      </c>
      <c r="D346" s="77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</row>
    <row r="347" spans="1:40" ht="18.95" customHeight="1" x14ac:dyDescent="0.55000000000000004">
      <c r="A347" s="74" t="s">
        <v>89</v>
      </c>
      <c r="B347" s="75" t="s">
        <v>36</v>
      </c>
      <c r="C347" s="91">
        <v>57780</v>
      </c>
      <c r="D347" s="77"/>
      <c r="E347" s="73"/>
      <c r="F347" s="73"/>
    </row>
    <row r="348" spans="1:40" ht="18.95" customHeight="1" x14ac:dyDescent="0.55000000000000004">
      <c r="A348" s="74" t="s">
        <v>90</v>
      </c>
      <c r="B348" s="75"/>
      <c r="C348" s="91"/>
      <c r="D348" s="77"/>
      <c r="E348" s="73"/>
      <c r="F348" s="73"/>
    </row>
    <row r="349" spans="1:40" ht="18.95" customHeight="1" x14ac:dyDescent="0.55000000000000004">
      <c r="A349" s="74" t="s">
        <v>29</v>
      </c>
      <c r="B349" s="75" t="s">
        <v>91</v>
      </c>
      <c r="C349" s="91">
        <v>17302.349999999999</v>
      </c>
      <c r="D349" s="77"/>
      <c r="E349" s="73"/>
      <c r="F349" s="73"/>
    </row>
    <row r="350" spans="1:40" ht="18.95" customHeight="1" x14ac:dyDescent="0.55000000000000004">
      <c r="A350" s="74" t="s">
        <v>30</v>
      </c>
      <c r="B350" s="75" t="s">
        <v>92</v>
      </c>
      <c r="C350" s="91">
        <v>57680.95</v>
      </c>
      <c r="D350" s="77"/>
      <c r="E350" s="73"/>
      <c r="F350" s="73"/>
    </row>
    <row r="351" spans="1:40" ht="18.95" customHeight="1" x14ac:dyDescent="0.55000000000000004">
      <c r="A351" s="74" t="s">
        <v>41</v>
      </c>
      <c r="B351" s="75" t="s">
        <v>45</v>
      </c>
      <c r="C351" s="90">
        <v>884269</v>
      </c>
      <c r="D351" s="77"/>
      <c r="E351" s="73"/>
      <c r="F351" s="73"/>
    </row>
    <row r="352" spans="1:40" ht="18.95" customHeight="1" x14ac:dyDescent="0.55000000000000004">
      <c r="A352" s="74" t="s">
        <v>93</v>
      </c>
      <c r="B352" s="75"/>
      <c r="C352" s="90">
        <v>2326400</v>
      </c>
      <c r="D352" s="77"/>
      <c r="E352" s="73"/>
      <c r="F352" s="73"/>
    </row>
    <row r="353" spans="1:6" ht="18.95" customHeight="1" x14ac:dyDescent="0.55000000000000004">
      <c r="A353" s="74" t="s">
        <v>94</v>
      </c>
      <c r="B353" s="75"/>
      <c r="C353" s="90">
        <v>316800</v>
      </c>
      <c r="D353" s="77"/>
      <c r="E353" s="73"/>
      <c r="F353" s="73"/>
    </row>
    <row r="354" spans="1:6" ht="18.95" customHeight="1" x14ac:dyDescent="0.55000000000000004">
      <c r="A354" s="74" t="s">
        <v>46</v>
      </c>
      <c r="B354" s="75" t="s">
        <v>95</v>
      </c>
      <c r="C354" s="90">
        <v>1531040</v>
      </c>
      <c r="D354" s="77"/>
      <c r="E354" s="73"/>
      <c r="F354" s="73"/>
    </row>
    <row r="355" spans="1:6" ht="18.95" customHeight="1" x14ac:dyDescent="0.55000000000000004">
      <c r="A355" s="74" t="s">
        <v>48</v>
      </c>
      <c r="B355" s="75" t="s">
        <v>47</v>
      </c>
      <c r="C355" s="90">
        <v>3028525.37</v>
      </c>
      <c r="D355" s="77"/>
      <c r="E355" s="73"/>
      <c r="F355" s="73"/>
    </row>
    <row r="356" spans="1:6" ht="18.95" customHeight="1" x14ac:dyDescent="0.55000000000000004">
      <c r="A356" s="74" t="s">
        <v>605</v>
      </c>
      <c r="B356" s="75"/>
      <c r="C356" s="90">
        <v>361666.5</v>
      </c>
      <c r="D356" s="77"/>
      <c r="E356" s="73"/>
      <c r="F356" s="73"/>
    </row>
    <row r="357" spans="1:6" ht="18.95" customHeight="1" x14ac:dyDescent="0.55000000000000004">
      <c r="A357" s="74" t="s">
        <v>49</v>
      </c>
      <c r="B357" s="75" t="s">
        <v>51</v>
      </c>
      <c r="C357" s="90">
        <v>68090</v>
      </c>
      <c r="D357" s="77"/>
      <c r="E357" s="73"/>
      <c r="F357" s="73"/>
    </row>
    <row r="358" spans="1:6" ht="18.95" customHeight="1" x14ac:dyDescent="0.55000000000000004">
      <c r="A358" s="74" t="s">
        <v>50</v>
      </c>
      <c r="B358" s="75" t="s">
        <v>53</v>
      </c>
      <c r="C358" s="90">
        <v>1119277.73</v>
      </c>
      <c r="D358" s="77"/>
      <c r="E358" s="73"/>
      <c r="F358" s="73"/>
    </row>
    <row r="359" spans="1:6" ht="18.95" customHeight="1" x14ac:dyDescent="0.55000000000000004">
      <c r="A359" s="74" t="s">
        <v>52</v>
      </c>
      <c r="B359" s="75" t="s">
        <v>55</v>
      </c>
      <c r="C359" s="78">
        <v>585827.37</v>
      </c>
      <c r="D359" s="77"/>
      <c r="E359" s="73"/>
      <c r="F359" s="73"/>
    </row>
    <row r="360" spans="1:6" ht="18.95" customHeight="1" x14ac:dyDescent="0.55000000000000004">
      <c r="A360" s="74" t="s">
        <v>54</v>
      </c>
      <c r="B360" s="75" t="s">
        <v>56</v>
      </c>
      <c r="C360" s="78">
        <v>680376.11</v>
      </c>
      <c r="D360" s="77"/>
      <c r="E360" s="73"/>
      <c r="F360" s="79"/>
    </row>
    <row r="361" spans="1:6" ht="18.95" customHeight="1" x14ac:dyDescent="0.55000000000000004">
      <c r="A361" s="74" t="s">
        <v>25</v>
      </c>
      <c r="B361" s="75" t="s">
        <v>96</v>
      </c>
      <c r="C361" s="80">
        <v>384000</v>
      </c>
      <c r="D361" s="77"/>
      <c r="E361" s="73"/>
      <c r="F361" s="73"/>
    </row>
    <row r="362" spans="1:6" ht="18.95" customHeight="1" x14ac:dyDescent="0.55000000000000004">
      <c r="A362" s="74" t="s">
        <v>57</v>
      </c>
      <c r="B362" s="75" t="s">
        <v>58</v>
      </c>
      <c r="C362" s="80">
        <v>223683.23</v>
      </c>
      <c r="D362" s="77"/>
      <c r="E362" s="73"/>
      <c r="F362" s="73"/>
    </row>
    <row r="363" spans="1:6" ht="18.95" customHeight="1" x14ac:dyDescent="0.55000000000000004">
      <c r="A363" s="74" t="s">
        <v>59</v>
      </c>
      <c r="B363" s="75" t="s">
        <v>60</v>
      </c>
      <c r="C363" s="78">
        <v>1836000</v>
      </c>
      <c r="D363" s="77"/>
      <c r="E363" s="73"/>
      <c r="F363" s="73"/>
    </row>
    <row r="364" spans="1:6" ht="18.95" customHeight="1" x14ac:dyDescent="0.55000000000000004">
      <c r="A364" s="74" t="s">
        <v>97</v>
      </c>
      <c r="B364" s="75"/>
      <c r="C364" s="78"/>
      <c r="D364" s="77"/>
      <c r="E364" s="73"/>
      <c r="F364" s="73"/>
    </row>
    <row r="365" spans="1:6" ht="18.95" customHeight="1" x14ac:dyDescent="0.55000000000000004">
      <c r="A365" s="74" t="s">
        <v>591</v>
      </c>
      <c r="B365" s="75"/>
      <c r="C365" s="78">
        <v>4282000</v>
      </c>
      <c r="D365" s="77"/>
      <c r="E365" s="73"/>
      <c r="F365" s="73"/>
    </row>
    <row r="366" spans="1:6" ht="18.95" customHeight="1" x14ac:dyDescent="0.55000000000000004">
      <c r="A366" s="74" t="s">
        <v>638</v>
      </c>
      <c r="B366" s="75"/>
      <c r="C366" s="78">
        <v>1061725.6399999999</v>
      </c>
      <c r="D366" s="77"/>
      <c r="E366" s="73"/>
      <c r="F366" s="73"/>
    </row>
    <row r="367" spans="1:6" ht="18.95" customHeight="1" x14ac:dyDescent="0.55000000000000004">
      <c r="A367" s="74" t="s">
        <v>98</v>
      </c>
      <c r="B367" s="75" t="s">
        <v>99</v>
      </c>
      <c r="C367" s="76"/>
      <c r="D367" s="77">
        <v>14817772.359999999</v>
      </c>
      <c r="E367" s="73"/>
      <c r="F367" s="73"/>
    </row>
    <row r="368" spans="1:6" ht="18.95" customHeight="1" x14ac:dyDescent="0.55000000000000004">
      <c r="A368" s="74" t="s">
        <v>100</v>
      </c>
      <c r="B368" s="75"/>
      <c r="C368" s="76"/>
      <c r="D368" s="77">
        <v>1300</v>
      </c>
      <c r="E368" s="73"/>
      <c r="F368" s="73"/>
    </row>
    <row r="369" spans="1:6" ht="18.95" customHeight="1" x14ac:dyDescent="0.55000000000000004">
      <c r="A369" s="74" t="s">
        <v>105</v>
      </c>
      <c r="B369" s="75"/>
      <c r="C369" s="76"/>
      <c r="D369" s="77">
        <v>0</v>
      </c>
      <c r="E369" s="73"/>
      <c r="F369" s="73"/>
    </row>
    <row r="370" spans="1:6" ht="18.95" customHeight="1" x14ac:dyDescent="0.55000000000000004">
      <c r="A370" s="74" t="s">
        <v>71</v>
      </c>
      <c r="B370" s="75"/>
      <c r="C370" s="76"/>
      <c r="D370" s="77">
        <v>0</v>
      </c>
      <c r="E370" s="73"/>
      <c r="F370" s="73"/>
    </row>
    <row r="371" spans="1:6" ht="18.95" customHeight="1" x14ac:dyDescent="0.55000000000000004">
      <c r="A371" s="74" t="s">
        <v>101</v>
      </c>
      <c r="B371" s="75" t="s">
        <v>38</v>
      </c>
      <c r="C371" s="76"/>
      <c r="D371" s="81">
        <f>857078+25653.38+6314.17+4.08+17270.19+11150+165500+36600+16500</f>
        <v>1136069.8199999998</v>
      </c>
      <c r="E371" s="73"/>
      <c r="F371" s="73"/>
    </row>
    <row r="372" spans="1:6" ht="18.95" customHeight="1" x14ac:dyDescent="0.55000000000000004">
      <c r="A372" s="74" t="s">
        <v>33</v>
      </c>
      <c r="B372" s="75" t="s">
        <v>34</v>
      </c>
      <c r="C372" s="76"/>
      <c r="D372" s="81">
        <v>2799773.07</v>
      </c>
      <c r="E372" s="73"/>
      <c r="F372" s="73"/>
    </row>
    <row r="373" spans="1:6" ht="18.95" customHeight="1" x14ac:dyDescent="0.55000000000000004">
      <c r="A373" s="74" t="s">
        <v>102</v>
      </c>
      <c r="B373" s="75" t="s">
        <v>103</v>
      </c>
      <c r="C373" s="76"/>
      <c r="D373" s="77">
        <v>6679869.3600000003</v>
      </c>
      <c r="E373" s="73"/>
      <c r="F373" s="73"/>
    </row>
    <row r="374" spans="1:6" ht="18.95" customHeight="1" x14ac:dyDescent="0.55000000000000004">
      <c r="A374" s="74" t="s">
        <v>594</v>
      </c>
      <c r="B374" s="75"/>
      <c r="C374" s="76"/>
      <c r="D374" s="83">
        <v>2344300</v>
      </c>
      <c r="E374" s="73"/>
      <c r="F374" s="73"/>
    </row>
    <row r="375" spans="1:6" ht="18.95" customHeight="1" x14ac:dyDescent="0.55000000000000004">
      <c r="A375" s="74" t="s">
        <v>595</v>
      </c>
      <c r="B375" s="75"/>
      <c r="C375" s="82"/>
      <c r="D375" s="83">
        <v>319200</v>
      </c>
      <c r="E375" s="73"/>
      <c r="F375" s="73"/>
    </row>
    <row r="376" spans="1:6" ht="18.95" customHeight="1" x14ac:dyDescent="0.55000000000000004">
      <c r="A376" s="74" t="s">
        <v>596</v>
      </c>
      <c r="B376" s="84"/>
      <c r="C376" s="82"/>
      <c r="D376" s="83">
        <v>11350</v>
      </c>
      <c r="E376" s="73"/>
      <c r="F376" s="73"/>
    </row>
    <row r="377" spans="1:6" ht="18.95" customHeight="1" x14ac:dyDescent="0.55000000000000004">
      <c r="A377" s="74" t="s">
        <v>597</v>
      </c>
      <c r="B377" s="84"/>
      <c r="C377" s="82"/>
      <c r="D377" s="83">
        <v>602255</v>
      </c>
      <c r="E377" s="73"/>
      <c r="F377" s="73"/>
    </row>
    <row r="378" spans="1:6" ht="18.95" customHeight="1" x14ac:dyDescent="0.55000000000000004">
      <c r="A378" s="74" t="s">
        <v>604</v>
      </c>
      <c r="B378" s="84"/>
      <c r="C378" s="82"/>
      <c r="D378" s="83">
        <v>50400</v>
      </c>
      <c r="E378" s="73"/>
      <c r="F378" s="73"/>
    </row>
    <row r="379" spans="1:6" ht="18.95" customHeight="1" x14ac:dyDescent="0.55000000000000004">
      <c r="A379" s="74" t="s">
        <v>636</v>
      </c>
      <c r="B379" s="84"/>
      <c r="C379" s="82"/>
      <c r="D379" s="83">
        <v>4282000</v>
      </c>
      <c r="E379" s="73"/>
      <c r="F379" s="73"/>
    </row>
    <row r="380" spans="1:6" ht="18.95" customHeight="1" x14ac:dyDescent="0.55000000000000004">
      <c r="A380" s="74" t="s">
        <v>638</v>
      </c>
      <c r="B380" s="84"/>
      <c r="C380" s="82"/>
      <c r="D380" s="83">
        <v>1061725.6399999999</v>
      </c>
      <c r="E380" s="73"/>
      <c r="F380" s="73"/>
    </row>
    <row r="381" spans="1:6" ht="18.95" customHeight="1" x14ac:dyDescent="0.55000000000000004">
      <c r="A381" s="537" t="s">
        <v>603</v>
      </c>
      <c r="B381" s="84"/>
      <c r="C381" s="82"/>
      <c r="D381" s="83"/>
      <c r="E381" s="73"/>
      <c r="F381" s="73"/>
    </row>
    <row r="382" spans="1:6" ht="18.95" customHeight="1" x14ac:dyDescent="0.55000000000000004">
      <c r="A382" s="537" t="s">
        <v>543</v>
      </c>
      <c r="B382" s="84"/>
      <c r="C382" s="82"/>
      <c r="D382" s="83">
        <v>84320</v>
      </c>
      <c r="E382" s="73"/>
      <c r="F382" s="73"/>
    </row>
    <row r="383" spans="1:6" ht="18.95" customHeight="1" x14ac:dyDescent="0.55000000000000004">
      <c r="A383" s="386" t="s">
        <v>609</v>
      </c>
      <c r="B383" s="387"/>
      <c r="C383" s="535"/>
      <c r="D383" s="536">
        <v>50292</v>
      </c>
      <c r="E383" s="73"/>
      <c r="F383" s="73"/>
    </row>
    <row r="384" spans="1:6" ht="18.95" customHeight="1" thickBot="1" x14ac:dyDescent="0.6">
      <c r="A384" s="85"/>
      <c r="B384" s="385"/>
      <c r="C384" s="86">
        <f>SUM(C338:C383)</f>
        <v>34240627.25</v>
      </c>
      <c r="D384" s="87">
        <f>SUM(D338:D383)</f>
        <v>34240627.25</v>
      </c>
      <c r="E384" s="85"/>
      <c r="F384" s="381"/>
    </row>
    <row r="385" spans="1:40" ht="18.95" customHeight="1" thickTop="1" x14ac:dyDescent="0.45">
      <c r="A385" s="376" t="s">
        <v>599</v>
      </c>
      <c r="B385" s="376"/>
      <c r="C385" s="376"/>
      <c r="D385" s="376"/>
      <c r="E385" s="376"/>
      <c r="F385" s="376"/>
    </row>
    <row r="386" spans="1:40" ht="18.95" customHeight="1" x14ac:dyDescent="0.45">
      <c r="A386" s="561" t="s">
        <v>601</v>
      </c>
      <c r="B386" s="376"/>
      <c r="C386" s="376"/>
      <c r="D386" s="376"/>
      <c r="E386" s="376"/>
      <c r="F386" s="376"/>
    </row>
    <row r="387" spans="1:40" ht="18.95" customHeight="1" x14ac:dyDescent="0.45">
      <c r="A387" s="376" t="s">
        <v>639</v>
      </c>
      <c r="B387" s="376"/>
      <c r="C387" s="376"/>
      <c r="D387" s="376"/>
    </row>
    <row r="388" spans="1:40" ht="18.95" customHeight="1" x14ac:dyDescent="0.45">
      <c r="A388" s="376" t="s">
        <v>600</v>
      </c>
    </row>
    <row r="389" spans="1:40" ht="24" x14ac:dyDescent="0.55000000000000004">
      <c r="A389" s="839" t="s">
        <v>76</v>
      </c>
      <c r="B389" s="839"/>
      <c r="C389" s="839"/>
      <c r="D389" s="839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</row>
    <row r="390" spans="1:40" ht="24" x14ac:dyDescent="0.55000000000000004">
      <c r="A390" s="839" t="s">
        <v>77</v>
      </c>
      <c r="B390" s="839"/>
      <c r="C390" s="839"/>
      <c r="D390" s="839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</row>
    <row r="391" spans="1:40" ht="24" x14ac:dyDescent="0.55000000000000004">
      <c r="A391" s="840" t="s">
        <v>640</v>
      </c>
      <c r="B391" s="840"/>
      <c r="C391" s="840"/>
      <c r="D391" s="840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</row>
    <row r="392" spans="1:40" ht="22.5" x14ac:dyDescent="0.45">
      <c r="A392" s="841" t="s">
        <v>10</v>
      </c>
      <c r="B392" s="843" t="s">
        <v>78</v>
      </c>
      <c r="C392" s="845" t="s">
        <v>79</v>
      </c>
      <c r="D392" s="845" t="s">
        <v>80</v>
      </c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</row>
    <row r="393" spans="1:40" ht="9" customHeight="1" x14ac:dyDescent="0.45">
      <c r="A393" s="842"/>
      <c r="B393" s="844"/>
      <c r="C393" s="846"/>
      <c r="D393" s="846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</row>
    <row r="394" spans="1:40" ht="18.95" customHeight="1" x14ac:dyDescent="0.55000000000000004">
      <c r="A394" s="377" t="s">
        <v>42</v>
      </c>
      <c r="B394" s="378"/>
      <c r="C394" s="379"/>
      <c r="D394" s="380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</row>
    <row r="395" spans="1:40" ht="18.95" customHeight="1" x14ac:dyDescent="0.55000000000000004">
      <c r="A395" s="74" t="s">
        <v>86</v>
      </c>
      <c r="B395" s="75" t="s">
        <v>82</v>
      </c>
      <c r="C395" s="379">
        <v>8319435</v>
      </c>
      <c r="D395" s="380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</row>
    <row r="396" spans="1:40" ht="18.95" customHeight="1" x14ac:dyDescent="0.55000000000000004">
      <c r="A396" s="74" t="s">
        <v>83</v>
      </c>
      <c r="B396" s="75" t="s">
        <v>82</v>
      </c>
      <c r="C396" s="90">
        <v>5999451.2400000002</v>
      </c>
      <c r="D396" s="380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</row>
    <row r="397" spans="1:40" ht="18.95" customHeight="1" x14ac:dyDescent="0.55000000000000004">
      <c r="A397" s="74" t="s">
        <v>84</v>
      </c>
      <c r="B397" s="75" t="s">
        <v>85</v>
      </c>
      <c r="C397" s="90">
        <v>6437.59</v>
      </c>
      <c r="D397" s="77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</row>
    <row r="398" spans="1:40" ht="18.95" customHeight="1" x14ac:dyDescent="0.55000000000000004">
      <c r="A398" s="74" t="s">
        <v>81</v>
      </c>
      <c r="B398" s="75" t="s">
        <v>82</v>
      </c>
      <c r="C398" s="90">
        <v>3077.69</v>
      </c>
      <c r="D398" s="77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</row>
    <row r="399" spans="1:40" ht="18.95" customHeight="1" x14ac:dyDescent="0.55000000000000004">
      <c r="A399" s="74" t="s">
        <v>503</v>
      </c>
      <c r="B399" s="75"/>
      <c r="C399" s="90"/>
      <c r="D399" s="77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</row>
    <row r="400" spans="1:40" ht="18.95" customHeight="1" x14ac:dyDescent="0.55000000000000004">
      <c r="A400" s="74" t="s">
        <v>104</v>
      </c>
      <c r="B400" s="75"/>
      <c r="C400" s="91"/>
      <c r="D400" s="77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</row>
    <row r="401" spans="1:40" ht="18.95" customHeight="1" x14ac:dyDescent="0.55000000000000004">
      <c r="A401" s="74" t="s">
        <v>40</v>
      </c>
      <c r="B401" s="75" t="s">
        <v>87</v>
      </c>
      <c r="C401" s="78"/>
      <c r="D401" s="77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</row>
    <row r="402" spans="1:40" ht="18.95" customHeight="1" x14ac:dyDescent="0.55000000000000004">
      <c r="A402" s="74" t="s">
        <v>88</v>
      </c>
      <c r="B402" s="75"/>
      <c r="C402" s="91">
        <v>941964.5</v>
      </c>
      <c r="D402" s="77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</row>
    <row r="403" spans="1:40" ht="18.95" customHeight="1" x14ac:dyDescent="0.55000000000000004">
      <c r="A403" s="74" t="s">
        <v>89</v>
      </c>
      <c r="B403" s="75" t="s">
        <v>36</v>
      </c>
      <c r="C403" s="91">
        <v>57780</v>
      </c>
      <c r="D403" s="77"/>
      <c r="E403" s="73"/>
      <c r="F403" s="73"/>
    </row>
    <row r="404" spans="1:40" ht="18.95" customHeight="1" x14ac:dyDescent="0.55000000000000004">
      <c r="A404" s="74" t="s">
        <v>90</v>
      </c>
      <c r="B404" s="75"/>
      <c r="C404" s="91"/>
      <c r="D404" s="77"/>
      <c r="E404" s="73"/>
      <c r="F404" s="73"/>
    </row>
    <row r="405" spans="1:40" ht="18.95" customHeight="1" x14ac:dyDescent="0.55000000000000004">
      <c r="A405" s="74" t="s">
        <v>29</v>
      </c>
      <c r="B405" s="75" t="s">
        <v>91</v>
      </c>
      <c r="C405" s="91">
        <v>17178.849999999999</v>
      </c>
      <c r="D405" s="77"/>
      <c r="E405" s="73"/>
      <c r="F405" s="73"/>
    </row>
    <row r="406" spans="1:40" ht="18.95" customHeight="1" x14ac:dyDescent="0.55000000000000004">
      <c r="A406" s="74" t="s">
        <v>30</v>
      </c>
      <c r="B406" s="75" t="s">
        <v>92</v>
      </c>
      <c r="C406" s="91">
        <v>57680.95</v>
      </c>
      <c r="D406" s="77"/>
      <c r="E406" s="73"/>
      <c r="F406" s="73"/>
    </row>
    <row r="407" spans="1:40" ht="18.95" customHeight="1" x14ac:dyDescent="0.55000000000000004">
      <c r="A407" s="74" t="s">
        <v>41</v>
      </c>
      <c r="B407" s="75" t="s">
        <v>45</v>
      </c>
      <c r="C407" s="90">
        <v>907444.6</v>
      </c>
      <c r="D407" s="77"/>
      <c r="E407" s="73"/>
      <c r="F407" s="73"/>
    </row>
    <row r="408" spans="1:40" ht="18.95" customHeight="1" x14ac:dyDescent="0.55000000000000004">
      <c r="A408" s="74" t="s">
        <v>93</v>
      </c>
      <c r="B408" s="75"/>
      <c r="C408" s="90">
        <v>2652200</v>
      </c>
      <c r="D408" s="77"/>
      <c r="E408" s="73"/>
      <c r="F408" s="73"/>
    </row>
    <row r="409" spans="1:40" ht="18.95" customHeight="1" x14ac:dyDescent="0.55000000000000004">
      <c r="A409" s="74" t="s">
        <v>94</v>
      </c>
      <c r="B409" s="75"/>
      <c r="C409" s="90">
        <v>361600</v>
      </c>
      <c r="D409" s="77"/>
      <c r="E409" s="73"/>
      <c r="F409" s="73"/>
    </row>
    <row r="410" spans="1:40" ht="18.95" customHeight="1" x14ac:dyDescent="0.55000000000000004">
      <c r="A410" s="74" t="s">
        <v>46</v>
      </c>
      <c r="B410" s="75" t="s">
        <v>95</v>
      </c>
      <c r="C410" s="90">
        <v>1749760</v>
      </c>
      <c r="D410" s="77"/>
      <c r="E410" s="73"/>
      <c r="F410" s="73"/>
    </row>
    <row r="411" spans="1:40" ht="18.95" customHeight="1" x14ac:dyDescent="0.55000000000000004">
      <c r="A411" s="74" t="s">
        <v>48</v>
      </c>
      <c r="B411" s="75" t="s">
        <v>47</v>
      </c>
      <c r="C411" s="90">
        <v>3439630.37</v>
      </c>
      <c r="D411" s="77"/>
      <c r="E411" s="73"/>
      <c r="F411" s="73"/>
    </row>
    <row r="412" spans="1:40" ht="18.95" customHeight="1" x14ac:dyDescent="0.55000000000000004">
      <c r="A412" s="74" t="s">
        <v>605</v>
      </c>
      <c r="B412" s="75"/>
      <c r="C412" s="90">
        <v>423106.5</v>
      </c>
      <c r="D412" s="77"/>
      <c r="E412" s="73"/>
      <c r="F412" s="73"/>
    </row>
    <row r="413" spans="1:40" ht="18.95" customHeight="1" x14ac:dyDescent="0.55000000000000004">
      <c r="A413" s="74" t="s">
        <v>49</v>
      </c>
      <c r="B413" s="75" t="s">
        <v>51</v>
      </c>
      <c r="C413" s="90">
        <v>89115</v>
      </c>
      <c r="D413" s="77"/>
      <c r="E413" s="73"/>
      <c r="F413" s="73"/>
    </row>
    <row r="414" spans="1:40" ht="18.95" customHeight="1" x14ac:dyDescent="0.55000000000000004">
      <c r="A414" s="74" t="s">
        <v>50</v>
      </c>
      <c r="B414" s="75" t="s">
        <v>53</v>
      </c>
      <c r="C414" s="90">
        <v>1145557.73</v>
      </c>
      <c r="D414" s="77"/>
      <c r="E414" s="73"/>
      <c r="F414" s="73"/>
    </row>
    <row r="415" spans="1:40" ht="18.95" customHeight="1" x14ac:dyDescent="0.55000000000000004">
      <c r="A415" s="74" t="s">
        <v>52</v>
      </c>
      <c r="B415" s="75" t="s">
        <v>55</v>
      </c>
      <c r="C415" s="78">
        <v>679147.37</v>
      </c>
      <c r="D415" s="77"/>
      <c r="E415" s="73"/>
      <c r="F415" s="73"/>
    </row>
    <row r="416" spans="1:40" ht="18.95" customHeight="1" x14ac:dyDescent="0.55000000000000004">
      <c r="A416" s="74" t="s">
        <v>54</v>
      </c>
      <c r="B416" s="75" t="s">
        <v>56</v>
      </c>
      <c r="C416" s="78">
        <v>808799.31</v>
      </c>
      <c r="D416" s="77"/>
      <c r="E416" s="73"/>
      <c r="F416" s="79"/>
    </row>
    <row r="417" spans="1:6" ht="18.95" customHeight="1" x14ac:dyDescent="0.55000000000000004">
      <c r="A417" s="74" t="s">
        <v>25</v>
      </c>
      <c r="B417" s="75" t="s">
        <v>96</v>
      </c>
      <c r="C417" s="80">
        <v>722000</v>
      </c>
      <c r="D417" s="77"/>
      <c r="E417" s="73"/>
      <c r="F417" s="73"/>
    </row>
    <row r="418" spans="1:6" ht="18.95" customHeight="1" x14ac:dyDescent="0.55000000000000004">
      <c r="A418" s="74" t="s">
        <v>57</v>
      </c>
      <c r="B418" s="75" t="s">
        <v>58</v>
      </c>
      <c r="C418" s="80">
        <v>223683.23</v>
      </c>
      <c r="D418" s="77"/>
      <c r="E418" s="73"/>
      <c r="F418" s="73"/>
    </row>
    <row r="419" spans="1:6" ht="18.95" customHeight="1" x14ac:dyDescent="0.55000000000000004">
      <c r="A419" s="74" t="s">
        <v>59</v>
      </c>
      <c r="B419" s="75" t="s">
        <v>60</v>
      </c>
      <c r="C419" s="78">
        <v>1836000</v>
      </c>
      <c r="D419" s="77"/>
      <c r="E419" s="73"/>
      <c r="F419" s="73"/>
    </row>
    <row r="420" spans="1:6" ht="18.95" customHeight="1" x14ac:dyDescent="0.55000000000000004">
      <c r="A420" s="74" t="s">
        <v>97</v>
      </c>
      <c r="B420" s="75"/>
      <c r="C420" s="78"/>
      <c r="D420" s="77"/>
      <c r="E420" s="73"/>
      <c r="F420" s="73"/>
    </row>
    <row r="421" spans="1:6" ht="18.95" customHeight="1" x14ac:dyDescent="0.55000000000000004">
      <c r="A421" s="74" t="s">
        <v>591</v>
      </c>
      <c r="B421" s="75"/>
      <c r="C421" s="78">
        <v>4282000</v>
      </c>
      <c r="D421" s="77"/>
      <c r="E421" s="73"/>
      <c r="F421" s="73"/>
    </row>
    <row r="422" spans="1:6" ht="18.95" customHeight="1" x14ac:dyDescent="0.55000000000000004">
      <c r="A422" s="74" t="s">
        <v>638</v>
      </c>
      <c r="B422" s="75"/>
      <c r="C422" s="78">
        <v>2315425.64</v>
      </c>
      <c r="D422" s="77"/>
      <c r="E422" s="73"/>
      <c r="F422" s="73"/>
    </row>
    <row r="423" spans="1:6" ht="18.95" customHeight="1" x14ac:dyDescent="0.55000000000000004">
      <c r="A423" s="74" t="s">
        <v>98</v>
      </c>
      <c r="B423" s="75" t="s">
        <v>99</v>
      </c>
      <c r="C423" s="76"/>
      <c r="D423" s="77">
        <v>16073681.82</v>
      </c>
      <c r="E423" s="73"/>
      <c r="F423" s="73"/>
    </row>
    <row r="424" spans="1:6" ht="18.95" customHeight="1" x14ac:dyDescent="0.55000000000000004">
      <c r="A424" s="74" t="s">
        <v>100</v>
      </c>
      <c r="B424" s="75"/>
      <c r="C424" s="76"/>
      <c r="D424" s="77">
        <v>1300</v>
      </c>
      <c r="E424" s="73"/>
      <c r="F424" s="73"/>
    </row>
    <row r="425" spans="1:6" ht="18.95" customHeight="1" x14ac:dyDescent="0.55000000000000004">
      <c r="A425" s="74" t="s">
        <v>105</v>
      </c>
      <c r="B425" s="75"/>
      <c r="C425" s="76"/>
      <c r="D425" s="77">
        <v>0</v>
      </c>
      <c r="E425" s="73"/>
      <c r="F425" s="73"/>
    </row>
    <row r="426" spans="1:6" ht="18.95" customHeight="1" x14ac:dyDescent="0.55000000000000004">
      <c r="A426" s="74" t="s">
        <v>71</v>
      </c>
      <c r="B426" s="75"/>
      <c r="C426" s="76"/>
      <c r="D426" s="77">
        <v>0</v>
      </c>
      <c r="E426" s="73"/>
      <c r="F426" s="73"/>
    </row>
    <row r="427" spans="1:6" ht="18.95" customHeight="1" x14ac:dyDescent="0.55000000000000004">
      <c r="A427" s="74" t="s">
        <v>101</v>
      </c>
      <c r="B427" s="75" t="s">
        <v>38</v>
      </c>
      <c r="C427" s="76"/>
      <c r="D427" s="81">
        <f>857078+25753.28+6314.17+4.08+19357.33+11141+165500+36600+16500</f>
        <v>1138247.8599999999</v>
      </c>
      <c r="E427" s="73"/>
      <c r="F427" s="73"/>
    </row>
    <row r="428" spans="1:6" ht="18.95" customHeight="1" x14ac:dyDescent="0.55000000000000004">
      <c r="A428" s="74" t="s">
        <v>33</v>
      </c>
      <c r="B428" s="75" t="s">
        <v>34</v>
      </c>
      <c r="C428" s="76"/>
      <c r="D428" s="81">
        <v>2708533.89</v>
      </c>
      <c r="E428" s="73"/>
      <c r="F428" s="73"/>
    </row>
    <row r="429" spans="1:6" ht="18.95" customHeight="1" x14ac:dyDescent="0.55000000000000004">
      <c r="A429" s="74" t="s">
        <v>102</v>
      </c>
      <c r="B429" s="75" t="s">
        <v>103</v>
      </c>
      <c r="C429" s="76"/>
      <c r="D429" s="77">
        <v>6679869.3600000003</v>
      </c>
      <c r="E429" s="73"/>
      <c r="F429" s="73"/>
    </row>
    <row r="430" spans="1:6" ht="18.95" customHeight="1" x14ac:dyDescent="0.55000000000000004">
      <c r="A430" s="74" t="s">
        <v>594</v>
      </c>
      <c r="B430" s="75"/>
      <c r="C430" s="76"/>
      <c r="D430" s="83">
        <v>2676000</v>
      </c>
      <c r="E430" s="73"/>
      <c r="F430" s="73"/>
    </row>
    <row r="431" spans="1:6" ht="18.95" customHeight="1" x14ac:dyDescent="0.55000000000000004">
      <c r="A431" s="74" t="s">
        <v>595</v>
      </c>
      <c r="B431" s="75"/>
      <c r="C431" s="82"/>
      <c r="D431" s="83">
        <v>364800</v>
      </c>
      <c r="E431" s="73"/>
      <c r="F431" s="73"/>
    </row>
    <row r="432" spans="1:6" ht="18.95" customHeight="1" x14ac:dyDescent="0.55000000000000004">
      <c r="A432" s="74" t="s">
        <v>596</v>
      </c>
      <c r="B432" s="84"/>
      <c r="C432" s="82"/>
      <c r="D432" s="83">
        <v>602255</v>
      </c>
      <c r="E432" s="73"/>
      <c r="F432" s="73"/>
    </row>
    <row r="433" spans="1:40" ht="18.95" customHeight="1" x14ac:dyDescent="0.55000000000000004">
      <c r="A433" s="74" t="s">
        <v>597</v>
      </c>
      <c r="B433" s="84"/>
      <c r="C433" s="82"/>
      <c r="D433" s="83">
        <v>11350</v>
      </c>
      <c r="E433" s="73"/>
      <c r="F433" s="73"/>
    </row>
    <row r="434" spans="1:40" ht="18.95" customHeight="1" x14ac:dyDescent="0.55000000000000004">
      <c r="A434" s="74" t="s">
        <v>604</v>
      </c>
      <c r="B434" s="84"/>
      <c r="C434" s="82"/>
      <c r="D434" s="83">
        <v>50400</v>
      </c>
      <c r="E434" s="73"/>
      <c r="F434" s="73"/>
    </row>
    <row r="435" spans="1:40" ht="18.95" customHeight="1" x14ac:dyDescent="0.55000000000000004">
      <c r="A435" s="74" t="s">
        <v>636</v>
      </c>
      <c r="B435" s="84"/>
      <c r="C435" s="82"/>
      <c r="D435" s="83">
        <v>4282000</v>
      </c>
      <c r="E435" s="73"/>
      <c r="F435" s="73"/>
    </row>
    <row r="436" spans="1:40" ht="18.95" customHeight="1" x14ac:dyDescent="0.55000000000000004">
      <c r="A436" s="74" t="s">
        <v>638</v>
      </c>
      <c r="B436" s="84"/>
      <c r="C436" s="82"/>
      <c r="D436" s="83">
        <v>2315425.64</v>
      </c>
      <c r="E436" s="73"/>
      <c r="F436" s="73"/>
    </row>
    <row r="437" spans="1:40" ht="18.95" customHeight="1" x14ac:dyDescent="0.55000000000000004">
      <c r="A437" s="537" t="s">
        <v>603</v>
      </c>
      <c r="B437" s="84"/>
      <c r="C437" s="82"/>
      <c r="D437" s="83"/>
      <c r="E437" s="73"/>
      <c r="F437" s="73"/>
    </row>
    <row r="438" spans="1:40" ht="18.95" customHeight="1" x14ac:dyDescent="0.55000000000000004">
      <c r="A438" s="537" t="s">
        <v>543</v>
      </c>
      <c r="B438" s="84"/>
      <c r="C438" s="82"/>
      <c r="D438" s="83">
        <v>84320</v>
      </c>
      <c r="E438" s="73"/>
      <c r="F438" s="73"/>
    </row>
    <row r="439" spans="1:40" ht="18.95" customHeight="1" x14ac:dyDescent="0.55000000000000004">
      <c r="A439" s="386" t="s">
        <v>609</v>
      </c>
      <c r="B439" s="387"/>
      <c r="C439" s="535"/>
      <c r="D439" s="536">
        <v>50292</v>
      </c>
      <c r="E439" s="73"/>
      <c r="F439" s="73"/>
    </row>
    <row r="440" spans="1:40" ht="18.95" customHeight="1" thickBot="1" x14ac:dyDescent="0.6">
      <c r="A440" s="85"/>
      <c r="B440" s="385"/>
      <c r="C440" s="86">
        <f>SUM(C394:C439)</f>
        <v>37038475.57</v>
      </c>
      <c r="D440" s="87">
        <f>SUM(D394:D439)</f>
        <v>37038475.57</v>
      </c>
      <c r="E440" s="85"/>
      <c r="F440" s="381"/>
    </row>
    <row r="441" spans="1:40" ht="18.95" customHeight="1" thickTop="1" x14ac:dyDescent="0.45">
      <c r="A441" s="376" t="s">
        <v>599</v>
      </c>
      <c r="B441" s="376"/>
      <c r="C441" s="376"/>
      <c r="D441" s="376"/>
      <c r="E441" s="376"/>
      <c r="F441" s="376"/>
    </row>
    <row r="442" spans="1:40" ht="18.95" customHeight="1" x14ac:dyDescent="0.45">
      <c r="A442" s="561" t="s">
        <v>601</v>
      </c>
      <c r="B442" s="376"/>
      <c r="C442" s="376"/>
      <c r="D442" s="376"/>
      <c r="E442" s="376"/>
      <c r="F442" s="376"/>
    </row>
    <row r="443" spans="1:40" ht="18.95" customHeight="1" x14ac:dyDescent="0.45">
      <c r="A443" s="376" t="s">
        <v>639</v>
      </c>
      <c r="B443" s="376"/>
      <c r="C443" s="376"/>
      <c r="D443" s="376"/>
    </row>
    <row r="444" spans="1:40" ht="18.95" customHeight="1" x14ac:dyDescent="0.45">
      <c r="A444" s="376" t="s">
        <v>600</v>
      </c>
    </row>
    <row r="445" spans="1:40" ht="24" x14ac:dyDescent="0.55000000000000004">
      <c r="A445" s="839" t="s">
        <v>76</v>
      </c>
      <c r="B445" s="839"/>
      <c r="C445" s="839"/>
      <c r="D445" s="839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</row>
    <row r="446" spans="1:40" ht="24" x14ac:dyDescent="0.55000000000000004">
      <c r="A446" s="839" t="s">
        <v>77</v>
      </c>
      <c r="B446" s="839"/>
      <c r="C446" s="839"/>
      <c r="D446" s="839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</row>
    <row r="447" spans="1:40" ht="24" x14ac:dyDescent="0.55000000000000004">
      <c r="A447" s="840" t="s">
        <v>641</v>
      </c>
      <c r="B447" s="840"/>
      <c r="C447" s="840"/>
      <c r="D447" s="840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</row>
    <row r="448" spans="1:40" ht="22.5" x14ac:dyDescent="0.45">
      <c r="A448" s="841" t="s">
        <v>10</v>
      </c>
      <c r="B448" s="843" t="s">
        <v>78</v>
      </c>
      <c r="C448" s="845" t="s">
        <v>79</v>
      </c>
      <c r="D448" s="845" t="s">
        <v>80</v>
      </c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</row>
    <row r="449" spans="1:40" ht="9" customHeight="1" x14ac:dyDescent="0.45">
      <c r="A449" s="842"/>
      <c r="B449" s="844"/>
      <c r="C449" s="846"/>
      <c r="D449" s="846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</row>
    <row r="450" spans="1:40" ht="18.95" customHeight="1" x14ac:dyDescent="0.55000000000000004">
      <c r="A450" s="377" t="s">
        <v>42</v>
      </c>
      <c r="B450" s="378"/>
      <c r="C450" s="379"/>
      <c r="D450" s="380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</row>
    <row r="451" spans="1:40" ht="18.95" customHeight="1" x14ac:dyDescent="0.55000000000000004">
      <c r="A451" s="74" t="s">
        <v>86</v>
      </c>
      <c r="B451" s="75" t="s">
        <v>82</v>
      </c>
      <c r="C451" s="379">
        <v>8079834.6900000004</v>
      </c>
      <c r="D451" s="380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</row>
    <row r="452" spans="1:40" ht="18.95" customHeight="1" x14ac:dyDescent="0.55000000000000004">
      <c r="A452" s="74" t="s">
        <v>83</v>
      </c>
      <c r="B452" s="75" t="s">
        <v>82</v>
      </c>
      <c r="C452" s="90">
        <v>7357134.5300000003</v>
      </c>
      <c r="D452" s="380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</row>
    <row r="453" spans="1:40" ht="18.95" customHeight="1" x14ac:dyDescent="0.55000000000000004">
      <c r="A453" s="74" t="s">
        <v>84</v>
      </c>
      <c r="B453" s="75" t="s">
        <v>85</v>
      </c>
      <c r="C453" s="90">
        <v>6437.59</v>
      </c>
      <c r="D453" s="77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</row>
    <row r="454" spans="1:40" ht="18.95" customHeight="1" x14ac:dyDescent="0.55000000000000004">
      <c r="A454" s="74" t="s">
        <v>81</v>
      </c>
      <c r="B454" s="75" t="s">
        <v>82</v>
      </c>
      <c r="C454" s="90">
        <v>3077.69</v>
      </c>
      <c r="D454" s="77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</row>
    <row r="455" spans="1:40" ht="18.95" customHeight="1" x14ac:dyDescent="0.55000000000000004">
      <c r="A455" s="74" t="s">
        <v>503</v>
      </c>
      <c r="B455" s="75"/>
      <c r="C455" s="90"/>
      <c r="D455" s="77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</row>
    <row r="456" spans="1:40" ht="18.95" customHeight="1" x14ac:dyDescent="0.55000000000000004">
      <c r="A456" s="74" t="s">
        <v>104</v>
      </c>
      <c r="B456" s="75"/>
      <c r="C456" s="91"/>
      <c r="D456" s="77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</row>
    <row r="457" spans="1:40" ht="18.95" customHeight="1" x14ac:dyDescent="0.55000000000000004">
      <c r="A457" s="74" t="s">
        <v>40</v>
      </c>
      <c r="B457" s="75" t="s">
        <v>87</v>
      </c>
      <c r="C457" s="78"/>
      <c r="D457" s="77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</row>
    <row r="458" spans="1:40" ht="18.95" customHeight="1" x14ac:dyDescent="0.55000000000000004">
      <c r="A458" s="74" t="s">
        <v>88</v>
      </c>
      <c r="B458" s="75"/>
      <c r="C458" s="91">
        <v>1033203.68</v>
      </c>
      <c r="D458" s="77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</row>
    <row r="459" spans="1:40" ht="18.95" customHeight="1" x14ac:dyDescent="0.55000000000000004">
      <c r="A459" s="74" t="s">
        <v>89</v>
      </c>
      <c r="B459" s="75" t="s">
        <v>36</v>
      </c>
      <c r="C459" s="91">
        <v>57780</v>
      </c>
      <c r="D459" s="77"/>
      <c r="E459" s="73"/>
      <c r="F459" s="73"/>
    </row>
    <row r="460" spans="1:40" ht="18.95" customHeight="1" x14ac:dyDescent="0.55000000000000004">
      <c r="A460" s="74" t="s">
        <v>90</v>
      </c>
      <c r="B460" s="75"/>
      <c r="C460" s="91"/>
      <c r="D460" s="77"/>
      <c r="E460" s="73"/>
      <c r="F460" s="73"/>
    </row>
    <row r="461" spans="1:40" ht="18.95" customHeight="1" x14ac:dyDescent="0.55000000000000004">
      <c r="A461" s="74" t="s">
        <v>29</v>
      </c>
      <c r="B461" s="75" t="s">
        <v>91</v>
      </c>
      <c r="C461" s="91">
        <v>17160.8</v>
      </c>
      <c r="D461" s="77"/>
      <c r="E461" s="73"/>
      <c r="F461" s="73"/>
    </row>
    <row r="462" spans="1:40" ht="18.95" customHeight="1" x14ac:dyDescent="0.55000000000000004">
      <c r="A462" s="74" t="s">
        <v>30</v>
      </c>
      <c r="B462" s="75" t="s">
        <v>92</v>
      </c>
      <c r="C462" s="91">
        <v>57680.95</v>
      </c>
      <c r="D462" s="77"/>
      <c r="E462" s="73"/>
      <c r="F462" s="73"/>
    </row>
    <row r="463" spans="1:40" ht="18.95" customHeight="1" x14ac:dyDescent="0.55000000000000004">
      <c r="A463" s="74" t="s">
        <v>41</v>
      </c>
      <c r="B463" s="75" t="s">
        <v>45</v>
      </c>
      <c r="C463" s="90">
        <v>930611.19999999995</v>
      </c>
      <c r="D463" s="77"/>
      <c r="E463" s="73"/>
      <c r="F463" s="73"/>
    </row>
    <row r="464" spans="1:40" ht="18.95" customHeight="1" x14ac:dyDescent="0.55000000000000004">
      <c r="A464" s="74" t="s">
        <v>93</v>
      </c>
      <c r="B464" s="75"/>
      <c r="C464" s="90">
        <v>2977200</v>
      </c>
      <c r="D464" s="77"/>
      <c r="E464" s="73"/>
      <c r="F464" s="73"/>
    </row>
    <row r="465" spans="1:6" ht="18.95" customHeight="1" x14ac:dyDescent="0.55000000000000004">
      <c r="A465" s="74" t="s">
        <v>94</v>
      </c>
      <c r="B465" s="75"/>
      <c r="C465" s="90">
        <v>406400</v>
      </c>
      <c r="D465" s="77"/>
      <c r="E465" s="73"/>
      <c r="F465" s="73"/>
    </row>
    <row r="466" spans="1:6" ht="18.95" customHeight="1" x14ac:dyDescent="0.55000000000000004">
      <c r="A466" s="74" t="s">
        <v>46</v>
      </c>
      <c r="B466" s="75" t="s">
        <v>95</v>
      </c>
      <c r="C466" s="90">
        <v>1968480</v>
      </c>
      <c r="D466" s="77"/>
      <c r="E466" s="73"/>
      <c r="F466" s="73"/>
    </row>
    <row r="467" spans="1:6" ht="18.95" customHeight="1" x14ac:dyDescent="0.55000000000000004">
      <c r="A467" s="74" t="s">
        <v>48</v>
      </c>
      <c r="B467" s="75" t="s">
        <v>47</v>
      </c>
      <c r="C467" s="90">
        <v>3862630.37</v>
      </c>
      <c r="D467" s="77"/>
      <c r="E467" s="73"/>
      <c r="F467" s="73"/>
    </row>
    <row r="468" spans="1:6" ht="18.95" customHeight="1" x14ac:dyDescent="0.55000000000000004">
      <c r="A468" s="74" t="s">
        <v>605</v>
      </c>
      <c r="B468" s="75"/>
      <c r="C468" s="90">
        <v>423106.5</v>
      </c>
      <c r="D468" s="77"/>
      <c r="E468" s="73"/>
      <c r="F468" s="73"/>
    </row>
    <row r="469" spans="1:6" ht="18.95" customHeight="1" x14ac:dyDescent="0.55000000000000004">
      <c r="A469" s="74" t="s">
        <v>49</v>
      </c>
      <c r="B469" s="75" t="s">
        <v>51</v>
      </c>
      <c r="C469" s="90">
        <v>96115</v>
      </c>
      <c r="D469" s="77"/>
      <c r="E469" s="73"/>
      <c r="F469" s="73"/>
    </row>
    <row r="470" spans="1:6" ht="18.95" customHeight="1" x14ac:dyDescent="0.55000000000000004">
      <c r="A470" s="74" t="s">
        <v>50</v>
      </c>
      <c r="B470" s="75" t="s">
        <v>53</v>
      </c>
      <c r="C470" s="90">
        <v>1229270.73</v>
      </c>
      <c r="D470" s="77"/>
      <c r="E470" s="73"/>
      <c r="F470" s="73"/>
    </row>
    <row r="471" spans="1:6" ht="18.95" customHeight="1" x14ac:dyDescent="0.55000000000000004">
      <c r="A471" s="74" t="s">
        <v>52</v>
      </c>
      <c r="B471" s="75" t="s">
        <v>55</v>
      </c>
      <c r="C471" s="78">
        <v>788419.89</v>
      </c>
      <c r="D471" s="77"/>
      <c r="E471" s="73"/>
      <c r="F471" s="73"/>
    </row>
    <row r="472" spans="1:6" ht="18.95" customHeight="1" x14ac:dyDescent="0.55000000000000004">
      <c r="A472" s="74" t="s">
        <v>54</v>
      </c>
      <c r="B472" s="75" t="s">
        <v>56</v>
      </c>
      <c r="C472" s="78">
        <v>932261.32</v>
      </c>
      <c r="D472" s="77"/>
      <c r="E472" s="73"/>
      <c r="F472" s="79"/>
    </row>
    <row r="473" spans="1:6" ht="18.95" customHeight="1" x14ac:dyDescent="0.55000000000000004">
      <c r="A473" s="74" t="s">
        <v>25</v>
      </c>
      <c r="B473" s="75" t="s">
        <v>96</v>
      </c>
      <c r="C473" s="80">
        <v>722000</v>
      </c>
      <c r="D473" s="77"/>
      <c r="E473" s="73"/>
      <c r="F473" s="73"/>
    </row>
    <row r="474" spans="1:6" ht="18.95" customHeight="1" x14ac:dyDescent="0.55000000000000004">
      <c r="A474" s="74" t="s">
        <v>57</v>
      </c>
      <c r="B474" s="75" t="s">
        <v>58</v>
      </c>
      <c r="C474" s="80">
        <v>275183.23</v>
      </c>
      <c r="D474" s="77"/>
      <c r="E474" s="73"/>
      <c r="F474" s="73"/>
    </row>
    <row r="475" spans="1:6" ht="18.95" customHeight="1" x14ac:dyDescent="0.55000000000000004">
      <c r="A475" s="74" t="s">
        <v>59</v>
      </c>
      <c r="B475" s="75" t="s">
        <v>60</v>
      </c>
      <c r="C475" s="78">
        <v>1836000</v>
      </c>
      <c r="D475" s="77"/>
      <c r="E475" s="73"/>
      <c r="F475" s="73"/>
    </row>
    <row r="476" spans="1:6" ht="18.95" customHeight="1" x14ac:dyDescent="0.55000000000000004">
      <c r="A476" s="74" t="s">
        <v>642</v>
      </c>
      <c r="B476" s="75"/>
      <c r="C476" s="78">
        <v>1061725.6399999999</v>
      </c>
      <c r="D476" s="77"/>
      <c r="E476" s="73"/>
      <c r="F476" s="73"/>
    </row>
    <row r="477" spans="1:6" ht="18.95" customHeight="1" x14ac:dyDescent="0.55000000000000004">
      <c r="A477" s="74" t="s">
        <v>591</v>
      </c>
      <c r="B477" s="75"/>
      <c r="C477" s="78">
        <v>4282000</v>
      </c>
      <c r="D477" s="77"/>
      <c r="E477" s="73"/>
      <c r="F477" s="73"/>
    </row>
    <row r="478" spans="1:6" ht="18.95" customHeight="1" x14ac:dyDescent="0.55000000000000004">
      <c r="A478" s="74" t="s">
        <v>638</v>
      </c>
      <c r="B478" s="75"/>
      <c r="C478" s="78">
        <v>2315425.64</v>
      </c>
      <c r="D478" s="77"/>
      <c r="E478" s="73"/>
      <c r="F478" s="73"/>
    </row>
    <row r="479" spans="1:6" ht="18.95" customHeight="1" x14ac:dyDescent="0.55000000000000004">
      <c r="A479" s="74" t="s">
        <v>98</v>
      </c>
      <c r="B479" s="75" t="s">
        <v>99</v>
      </c>
      <c r="C479" s="76"/>
      <c r="D479" s="77">
        <v>17139650.530000001</v>
      </c>
      <c r="E479" s="73"/>
      <c r="F479" s="73"/>
    </row>
    <row r="480" spans="1:6" ht="18.95" customHeight="1" x14ac:dyDescent="0.55000000000000004">
      <c r="A480" s="74" t="s">
        <v>100</v>
      </c>
      <c r="B480" s="75"/>
      <c r="C480" s="76"/>
      <c r="D480" s="77">
        <v>1300</v>
      </c>
      <c r="E480" s="73"/>
      <c r="F480" s="73"/>
    </row>
    <row r="481" spans="1:6" ht="18.95" customHeight="1" x14ac:dyDescent="0.55000000000000004">
      <c r="A481" s="74" t="s">
        <v>105</v>
      </c>
      <c r="B481" s="75"/>
      <c r="C481" s="76"/>
      <c r="D481" s="77">
        <v>0</v>
      </c>
      <c r="E481" s="73"/>
      <c r="F481" s="73"/>
    </row>
    <row r="482" spans="1:6" ht="18.95" customHeight="1" x14ac:dyDescent="0.55000000000000004">
      <c r="A482" s="74" t="s">
        <v>71</v>
      </c>
      <c r="B482" s="75"/>
      <c r="C482" s="76"/>
      <c r="D482" s="77">
        <v>0</v>
      </c>
      <c r="E482" s="73"/>
      <c r="F482" s="73"/>
    </row>
    <row r="483" spans="1:6" ht="18.95" customHeight="1" x14ac:dyDescent="0.55000000000000004">
      <c r="A483" s="74" t="s">
        <v>101</v>
      </c>
      <c r="B483" s="75" t="s">
        <v>38</v>
      </c>
      <c r="C483" s="76"/>
      <c r="D483" s="81">
        <f>949793+25790.13+6314.17+4.08+18469.83+9907+165500+36600+16500</f>
        <v>1228878.21</v>
      </c>
      <c r="E483" s="73"/>
      <c r="F483" s="73"/>
    </row>
    <row r="484" spans="1:6" ht="18.95" customHeight="1" x14ac:dyDescent="0.55000000000000004">
      <c r="A484" s="74" t="s">
        <v>33</v>
      </c>
      <c r="B484" s="75" t="s">
        <v>34</v>
      </c>
      <c r="C484" s="76"/>
      <c r="D484" s="81">
        <v>2799773.07</v>
      </c>
      <c r="E484" s="73"/>
      <c r="F484" s="73"/>
    </row>
    <row r="485" spans="1:6" ht="18.95" customHeight="1" x14ac:dyDescent="0.55000000000000004">
      <c r="A485" s="74" t="s">
        <v>102</v>
      </c>
      <c r="B485" s="75" t="s">
        <v>103</v>
      </c>
      <c r="C485" s="76"/>
      <c r="D485" s="77">
        <v>6679869.3600000003</v>
      </c>
      <c r="E485" s="73"/>
      <c r="F485" s="73"/>
    </row>
    <row r="486" spans="1:6" ht="18.95" customHeight="1" x14ac:dyDescent="0.55000000000000004">
      <c r="A486" s="74" t="s">
        <v>594</v>
      </c>
      <c r="B486" s="75"/>
      <c r="C486" s="76"/>
      <c r="D486" s="83">
        <v>3882300</v>
      </c>
      <c r="E486" s="73"/>
      <c r="F486" s="73"/>
    </row>
    <row r="487" spans="1:6" ht="18.95" customHeight="1" x14ac:dyDescent="0.55000000000000004">
      <c r="A487" s="74" t="s">
        <v>595</v>
      </c>
      <c r="B487" s="75"/>
      <c r="C487" s="82"/>
      <c r="D487" s="83">
        <v>529600</v>
      </c>
      <c r="E487" s="73"/>
      <c r="F487" s="73"/>
    </row>
    <row r="488" spans="1:6" ht="18.95" customHeight="1" x14ac:dyDescent="0.55000000000000004">
      <c r="A488" s="74" t="s">
        <v>596</v>
      </c>
      <c r="B488" s="84"/>
      <c r="C488" s="82"/>
      <c r="D488" s="83">
        <v>602255</v>
      </c>
      <c r="E488" s="73"/>
      <c r="F488" s="73"/>
    </row>
    <row r="489" spans="1:6" ht="18.95" customHeight="1" x14ac:dyDescent="0.55000000000000004">
      <c r="A489" s="74" t="s">
        <v>597</v>
      </c>
      <c r="B489" s="84"/>
      <c r="C489" s="82"/>
      <c r="D489" s="83">
        <v>11350</v>
      </c>
      <c r="E489" s="73"/>
      <c r="F489" s="73"/>
    </row>
    <row r="490" spans="1:6" ht="18.95" customHeight="1" x14ac:dyDescent="0.55000000000000004">
      <c r="A490" s="74" t="s">
        <v>604</v>
      </c>
      <c r="B490" s="84"/>
      <c r="C490" s="82"/>
      <c r="D490" s="83">
        <v>50400</v>
      </c>
      <c r="E490" s="73"/>
      <c r="F490" s="73"/>
    </row>
    <row r="491" spans="1:6" ht="18.95" customHeight="1" x14ac:dyDescent="0.55000000000000004">
      <c r="A491" s="74" t="s">
        <v>636</v>
      </c>
      <c r="B491" s="84"/>
      <c r="C491" s="82"/>
      <c r="D491" s="83">
        <v>4282000</v>
      </c>
      <c r="E491" s="73"/>
      <c r="F491" s="73"/>
    </row>
    <row r="492" spans="1:6" ht="18.95" customHeight="1" x14ac:dyDescent="0.55000000000000004">
      <c r="A492" s="74" t="s">
        <v>638</v>
      </c>
      <c r="B492" s="84"/>
      <c r="C492" s="82"/>
      <c r="D492" s="83">
        <v>2315425.64</v>
      </c>
      <c r="E492" s="73"/>
      <c r="F492" s="73"/>
    </row>
    <row r="493" spans="1:6" ht="18.95" customHeight="1" x14ac:dyDescent="0.55000000000000004">
      <c r="A493" s="74" t="s">
        <v>642</v>
      </c>
      <c r="B493" s="84"/>
      <c r="C493" s="82"/>
      <c r="D493" s="83">
        <v>1061725.6399999999</v>
      </c>
      <c r="E493" s="73"/>
      <c r="F493" s="73"/>
    </row>
    <row r="494" spans="1:6" ht="18.95" customHeight="1" x14ac:dyDescent="0.55000000000000004">
      <c r="A494" s="537" t="s">
        <v>543</v>
      </c>
      <c r="B494" s="84"/>
      <c r="C494" s="82"/>
      <c r="D494" s="83">
        <v>84320</v>
      </c>
      <c r="E494" s="73"/>
      <c r="F494" s="73"/>
    </row>
    <row r="495" spans="1:6" ht="18.95" customHeight="1" x14ac:dyDescent="0.55000000000000004">
      <c r="A495" s="386" t="s">
        <v>609</v>
      </c>
      <c r="B495" s="387"/>
      <c r="C495" s="535"/>
      <c r="D495" s="536">
        <v>50292</v>
      </c>
      <c r="E495" s="73"/>
      <c r="F495" s="73"/>
    </row>
    <row r="496" spans="1:6" ht="18.95" customHeight="1" thickBot="1" x14ac:dyDescent="0.6">
      <c r="A496" s="85"/>
      <c r="B496" s="385"/>
      <c r="C496" s="86">
        <f>SUM(C450:C495)</f>
        <v>40719139.450000003</v>
      </c>
      <c r="D496" s="87">
        <f>SUM(D450:D495)</f>
        <v>40719139.450000003</v>
      </c>
      <c r="E496" s="85"/>
      <c r="F496" s="381"/>
    </row>
    <row r="497" spans="1:40" ht="18.95" customHeight="1" thickTop="1" x14ac:dyDescent="0.45">
      <c r="A497" s="376" t="s">
        <v>599</v>
      </c>
      <c r="B497" s="376"/>
      <c r="C497" s="376"/>
      <c r="D497" s="376"/>
      <c r="E497" s="376"/>
      <c r="F497" s="376"/>
    </row>
    <row r="498" spans="1:40" ht="18.95" customHeight="1" x14ac:dyDescent="0.45">
      <c r="A498" s="561" t="s">
        <v>601</v>
      </c>
      <c r="B498" s="376"/>
      <c r="C498" s="376"/>
      <c r="D498" s="376"/>
      <c r="E498" s="376"/>
      <c r="F498" s="376"/>
    </row>
    <row r="499" spans="1:40" ht="18.95" customHeight="1" x14ac:dyDescent="0.45">
      <c r="A499" s="376" t="s">
        <v>639</v>
      </c>
      <c r="B499" s="376"/>
      <c r="C499" s="376"/>
      <c r="D499" s="376"/>
    </row>
    <row r="500" spans="1:40" ht="18.95" customHeight="1" x14ac:dyDescent="0.45">
      <c r="A500" s="376" t="s">
        <v>600</v>
      </c>
    </row>
    <row r="501" spans="1:40" ht="24" x14ac:dyDescent="0.55000000000000004">
      <c r="A501" s="839" t="s">
        <v>76</v>
      </c>
      <c r="B501" s="839"/>
      <c r="C501" s="839"/>
      <c r="D501" s="839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</row>
    <row r="502" spans="1:40" ht="24" x14ac:dyDescent="0.55000000000000004">
      <c r="A502" s="839" t="s">
        <v>77</v>
      </c>
      <c r="B502" s="839"/>
      <c r="C502" s="839"/>
      <c r="D502" s="839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</row>
    <row r="503" spans="1:40" ht="24" x14ac:dyDescent="0.55000000000000004">
      <c r="A503" s="840" t="s">
        <v>649</v>
      </c>
      <c r="B503" s="840"/>
      <c r="C503" s="840"/>
      <c r="D503" s="840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</row>
    <row r="504" spans="1:40" ht="22.5" x14ac:dyDescent="0.45">
      <c r="A504" s="841" t="s">
        <v>10</v>
      </c>
      <c r="B504" s="843" t="s">
        <v>78</v>
      </c>
      <c r="C504" s="845" t="s">
        <v>79</v>
      </c>
      <c r="D504" s="845" t="s">
        <v>80</v>
      </c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</row>
    <row r="505" spans="1:40" ht="9" customHeight="1" x14ac:dyDescent="0.45">
      <c r="A505" s="842"/>
      <c r="B505" s="844"/>
      <c r="C505" s="846"/>
      <c r="D505" s="846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</row>
    <row r="506" spans="1:40" ht="18.95" customHeight="1" x14ac:dyDescent="0.55000000000000004">
      <c r="A506" s="377" t="s">
        <v>42</v>
      </c>
      <c r="B506" s="378"/>
      <c r="C506" s="379"/>
      <c r="D506" s="380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</row>
    <row r="507" spans="1:40" ht="18.95" customHeight="1" x14ac:dyDescent="0.55000000000000004">
      <c r="A507" s="74" t="s">
        <v>86</v>
      </c>
      <c r="B507" s="75" t="s">
        <v>82</v>
      </c>
      <c r="C507" s="379">
        <v>9244559.8800000008</v>
      </c>
      <c r="D507" s="380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</row>
    <row r="508" spans="1:40" ht="18.95" customHeight="1" x14ac:dyDescent="0.55000000000000004">
      <c r="A508" s="74" t="s">
        <v>83</v>
      </c>
      <c r="B508" s="75" t="s">
        <v>82</v>
      </c>
      <c r="C508" s="90">
        <v>5436701.2199999997</v>
      </c>
      <c r="D508" s="380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</row>
    <row r="509" spans="1:40" ht="18.95" customHeight="1" x14ac:dyDescent="0.55000000000000004">
      <c r="A509" s="74" t="s">
        <v>84</v>
      </c>
      <c r="B509" s="75" t="s">
        <v>85</v>
      </c>
      <c r="C509" s="90">
        <v>6437.59</v>
      </c>
      <c r="D509" s="77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</row>
    <row r="510" spans="1:40" ht="18.95" customHeight="1" x14ac:dyDescent="0.55000000000000004">
      <c r="A510" s="74" t="s">
        <v>81</v>
      </c>
      <c r="B510" s="75" t="s">
        <v>82</v>
      </c>
      <c r="C510" s="90">
        <v>3077.69</v>
      </c>
      <c r="D510" s="77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</row>
    <row r="511" spans="1:40" ht="18.95" customHeight="1" x14ac:dyDescent="0.55000000000000004">
      <c r="A511" s="74" t="s">
        <v>503</v>
      </c>
      <c r="B511" s="75"/>
      <c r="C511" s="90"/>
      <c r="D511" s="77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</row>
    <row r="512" spans="1:40" ht="18.95" customHeight="1" x14ac:dyDescent="0.55000000000000004">
      <c r="A512" s="74" t="s">
        <v>104</v>
      </c>
      <c r="B512" s="75"/>
      <c r="C512" s="91"/>
      <c r="D512" s="77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</row>
    <row r="513" spans="1:40" ht="18.95" customHeight="1" x14ac:dyDescent="0.55000000000000004">
      <c r="A513" s="74" t="s">
        <v>40</v>
      </c>
      <c r="B513" s="75" t="s">
        <v>87</v>
      </c>
      <c r="C513" s="78"/>
      <c r="D513" s="77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</row>
    <row r="514" spans="1:40" ht="18.95" customHeight="1" x14ac:dyDescent="0.55000000000000004">
      <c r="A514" s="74" t="s">
        <v>88</v>
      </c>
      <c r="B514" s="75"/>
      <c r="C514" s="91">
        <v>1033203.68</v>
      </c>
      <c r="D514" s="77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</row>
    <row r="515" spans="1:40" ht="18.95" customHeight="1" x14ac:dyDescent="0.55000000000000004">
      <c r="A515" s="74" t="s">
        <v>89</v>
      </c>
      <c r="B515" s="75" t="s">
        <v>36</v>
      </c>
      <c r="C515" s="91">
        <v>57780</v>
      </c>
      <c r="D515" s="77"/>
      <c r="E515" s="73"/>
      <c r="F515" s="73"/>
    </row>
    <row r="516" spans="1:40" ht="18.95" customHeight="1" x14ac:dyDescent="0.55000000000000004">
      <c r="A516" s="74" t="s">
        <v>90</v>
      </c>
      <c r="B516" s="75"/>
      <c r="C516" s="91"/>
      <c r="D516" s="77"/>
      <c r="E516" s="73"/>
      <c r="F516" s="73"/>
    </row>
    <row r="517" spans="1:40" ht="18.95" customHeight="1" x14ac:dyDescent="0.55000000000000004">
      <c r="A517" s="74" t="s">
        <v>29</v>
      </c>
      <c r="B517" s="75" t="s">
        <v>91</v>
      </c>
      <c r="C517" s="91">
        <v>16946.099999999999</v>
      </c>
      <c r="D517" s="77"/>
      <c r="E517" s="73"/>
      <c r="F517" s="73"/>
    </row>
    <row r="518" spans="1:40" ht="18.95" customHeight="1" x14ac:dyDescent="0.55000000000000004">
      <c r="A518" s="74" t="s">
        <v>30</v>
      </c>
      <c r="B518" s="75" t="s">
        <v>92</v>
      </c>
      <c r="C518" s="91">
        <v>57680.95</v>
      </c>
      <c r="D518" s="77"/>
      <c r="E518" s="73"/>
      <c r="F518" s="73"/>
    </row>
    <row r="519" spans="1:40" ht="18.95" customHeight="1" x14ac:dyDescent="0.55000000000000004">
      <c r="A519" s="74" t="s">
        <v>41</v>
      </c>
      <c r="B519" s="75" t="s">
        <v>45</v>
      </c>
      <c r="C519" s="90">
        <v>991077.8</v>
      </c>
      <c r="D519" s="77"/>
      <c r="E519" s="73"/>
      <c r="F519" s="73"/>
    </row>
    <row r="520" spans="1:40" ht="18.95" customHeight="1" x14ac:dyDescent="0.55000000000000004">
      <c r="A520" s="74" t="s">
        <v>93</v>
      </c>
      <c r="B520" s="75"/>
      <c r="C520" s="90">
        <v>3302200</v>
      </c>
      <c r="D520" s="77"/>
      <c r="E520" s="73"/>
      <c r="F520" s="73"/>
    </row>
    <row r="521" spans="1:40" ht="18.95" customHeight="1" x14ac:dyDescent="0.55000000000000004">
      <c r="A521" s="74" t="s">
        <v>94</v>
      </c>
      <c r="B521" s="75"/>
      <c r="C521" s="90">
        <v>451200</v>
      </c>
      <c r="D521" s="77"/>
      <c r="E521" s="73"/>
      <c r="F521" s="73"/>
    </row>
    <row r="522" spans="1:40" ht="18.95" customHeight="1" x14ac:dyDescent="0.55000000000000004">
      <c r="A522" s="74" t="s">
        <v>46</v>
      </c>
      <c r="B522" s="75" t="s">
        <v>95</v>
      </c>
      <c r="C522" s="90">
        <v>2187200</v>
      </c>
      <c r="D522" s="77"/>
      <c r="E522" s="73"/>
      <c r="F522" s="73"/>
    </row>
    <row r="523" spans="1:40" ht="18.95" customHeight="1" x14ac:dyDescent="0.55000000000000004">
      <c r="A523" s="74" t="s">
        <v>48</v>
      </c>
      <c r="B523" s="75" t="s">
        <v>47</v>
      </c>
      <c r="C523" s="90">
        <v>4299920.37</v>
      </c>
      <c r="D523" s="77"/>
      <c r="E523" s="73"/>
      <c r="F523" s="73"/>
    </row>
    <row r="524" spans="1:40" ht="18.95" customHeight="1" x14ac:dyDescent="0.55000000000000004">
      <c r="A524" s="74" t="s">
        <v>605</v>
      </c>
      <c r="B524" s="75"/>
      <c r="C524" s="90">
        <v>545986.5</v>
      </c>
      <c r="D524" s="77"/>
      <c r="E524" s="73"/>
      <c r="F524" s="73"/>
    </row>
    <row r="525" spans="1:40" ht="18.95" customHeight="1" x14ac:dyDescent="0.55000000000000004">
      <c r="A525" s="74" t="s">
        <v>49</v>
      </c>
      <c r="B525" s="75" t="s">
        <v>51</v>
      </c>
      <c r="C525" s="90">
        <v>106415</v>
      </c>
      <c r="D525" s="77"/>
      <c r="E525" s="73"/>
      <c r="F525" s="73"/>
    </row>
    <row r="526" spans="1:40" ht="18.95" customHeight="1" x14ac:dyDescent="0.55000000000000004">
      <c r="A526" s="74" t="s">
        <v>50</v>
      </c>
      <c r="B526" s="75" t="s">
        <v>53</v>
      </c>
      <c r="C526" s="90">
        <v>1278852.73</v>
      </c>
      <c r="D526" s="77"/>
      <c r="E526" s="73"/>
      <c r="F526" s="73"/>
    </row>
    <row r="527" spans="1:40" ht="18.95" customHeight="1" x14ac:dyDescent="0.55000000000000004">
      <c r="A527" s="74" t="s">
        <v>52</v>
      </c>
      <c r="B527" s="75" t="s">
        <v>55</v>
      </c>
      <c r="C527" s="78">
        <v>899209.09</v>
      </c>
      <c r="D527" s="77"/>
      <c r="E527" s="73"/>
      <c r="F527" s="73"/>
    </row>
    <row r="528" spans="1:40" ht="18.95" customHeight="1" x14ac:dyDescent="0.55000000000000004">
      <c r="A528" s="74" t="s">
        <v>54</v>
      </c>
      <c r="B528" s="75" t="s">
        <v>56</v>
      </c>
      <c r="C528" s="78">
        <v>1072602.82</v>
      </c>
      <c r="D528" s="77"/>
      <c r="E528" s="73"/>
      <c r="F528" s="79"/>
    </row>
    <row r="529" spans="1:6" ht="18.95" customHeight="1" x14ac:dyDescent="0.55000000000000004">
      <c r="A529" s="74" t="s">
        <v>25</v>
      </c>
      <c r="B529" s="75" t="s">
        <v>96</v>
      </c>
      <c r="C529" s="80">
        <v>722000</v>
      </c>
      <c r="D529" s="77"/>
      <c r="E529" s="73"/>
      <c r="F529" s="73"/>
    </row>
    <row r="530" spans="1:6" ht="18.95" customHeight="1" x14ac:dyDescent="0.55000000000000004">
      <c r="A530" s="74" t="s">
        <v>57</v>
      </c>
      <c r="B530" s="75" t="s">
        <v>58</v>
      </c>
      <c r="C530" s="80">
        <v>275183.23</v>
      </c>
      <c r="D530" s="77"/>
      <c r="E530" s="73"/>
      <c r="F530" s="73"/>
    </row>
    <row r="531" spans="1:6" ht="18.95" customHeight="1" x14ac:dyDescent="0.55000000000000004">
      <c r="A531" s="74" t="s">
        <v>59</v>
      </c>
      <c r="B531" s="75" t="s">
        <v>60</v>
      </c>
      <c r="C531" s="78">
        <v>2720000</v>
      </c>
      <c r="D531" s="77"/>
      <c r="E531" s="73"/>
      <c r="F531" s="73"/>
    </row>
    <row r="532" spans="1:6" ht="18.95" customHeight="1" x14ac:dyDescent="0.55000000000000004">
      <c r="A532" s="74" t="s">
        <v>642</v>
      </c>
      <c r="B532" s="75"/>
      <c r="C532" s="78">
        <v>1061725.6399999999</v>
      </c>
      <c r="D532" s="77"/>
      <c r="E532" s="73"/>
      <c r="F532" s="73"/>
    </row>
    <row r="533" spans="1:6" ht="18.95" customHeight="1" x14ac:dyDescent="0.55000000000000004">
      <c r="A533" s="74" t="s">
        <v>591</v>
      </c>
      <c r="B533" s="75"/>
      <c r="C533" s="78">
        <v>4282000</v>
      </c>
      <c r="D533" s="77"/>
      <c r="E533" s="73"/>
      <c r="F533" s="73"/>
    </row>
    <row r="534" spans="1:6" ht="18.95" customHeight="1" x14ac:dyDescent="0.55000000000000004">
      <c r="A534" s="74" t="s">
        <v>638</v>
      </c>
      <c r="B534" s="75"/>
      <c r="C534" s="78">
        <v>2315425.64</v>
      </c>
      <c r="D534" s="77"/>
      <c r="E534" s="73"/>
      <c r="F534" s="73"/>
    </row>
    <row r="535" spans="1:6" ht="18.95" customHeight="1" x14ac:dyDescent="0.55000000000000004">
      <c r="A535" s="74" t="s">
        <v>98</v>
      </c>
      <c r="B535" s="75" t="s">
        <v>99</v>
      </c>
      <c r="C535" s="76"/>
      <c r="D535" s="77">
        <v>18496109.48</v>
      </c>
      <c r="E535" s="73"/>
      <c r="F535" s="73"/>
    </row>
    <row r="536" spans="1:6" ht="18.95" customHeight="1" x14ac:dyDescent="0.55000000000000004">
      <c r="A536" s="74" t="s">
        <v>100</v>
      </c>
      <c r="B536" s="75"/>
      <c r="C536" s="76"/>
      <c r="D536" s="77">
        <v>1300</v>
      </c>
      <c r="E536" s="73"/>
      <c r="F536" s="73"/>
    </row>
    <row r="537" spans="1:6" ht="18.95" customHeight="1" x14ac:dyDescent="0.55000000000000004">
      <c r="A537" s="74" t="s">
        <v>105</v>
      </c>
      <c r="B537" s="75"/>
      <c r="C537" s="76"/>
      <c r="D537" s="77">
        <v>0</v>
      </c>
      <c r="E537" s="73"/>
      <c r="F537" s="73"/>
    </row>
    <row r="538" spans="1:6" ht="18.95" customHeight="1" x14ac:dyDescent="0.55000000000000004">
      <c r="A538" s="74" t="s">
        <v>71</v>
      </c>
      <c r="B538" s="75"/>
      <c r="C538" s="76"/>
      <c r="D538" s="77">
        <v>0</v>
      </c>
      <c r="E538" s="73"/>
      <c r="F538" s="73"/>
    </row>
    <row r="539" spans="1:6" ht="18.95" customHeight="1" x14ac:dyDescent="0.55000000000000004">
      <c r="A539" s="74" t="s">
        <v>101</v>
      </c>
      <c r="B539" s="75" t="s">
        <v>38</v>
      </c>
      <c r="C539" s="76"/>
      <c r="D539" s="81">
        <f>963843+25892.28+6314.17+4.08+26373.21+11467+165500+36600+16500</f>
        <v>1252493.74</v>
      </c>
      <c r="E539" s="73"/>
      <c r="F539" s="73"/>
    </row>
    <row r="540" spans="1:6" ht="18.95" customHeight="1" x14ac:dyDescent="0.55000000000000004">
      <c r="A540" s="74" t="s">
        <v>33</v>
      </c>
      <c r="B540" s="75" t="s">
        <v>34</v>
      </c>
      <c r="C540" s="76"/>
      <c r="D540" s="81">
        <v>2810273.07</v>
      </c>
      <c r="E540" s="73"/>
      <c r="F540" s="73"/>
    </row>
    <row r="541" spans="1:6" ht="18.95" customHeight="1" x14ac:dyDescent="0.55000000000000004">
      <c r="A541" s="74" t="s">
        <v>102</v>
      </c>
      <c r="B541" s="75" t="s">
        <v>103</v>
      </c>
      <c r="C541" s="76"/>
      <c r="D541" s="77">
        <v>6679869.3600000003</v>
      </c>
      <c r="E541" s="73"/>
      <c r="F541" s="73"/>
    </row>
    <row r="542" spans="1:6" ht="18.95" customHeight="1" x14ac:dyDescent="0.55000000000000004">
      <c r="A542" s="74" t="s">
        <v>594</v>
      </c>
      <c r="B542" s="75"/>
      <c r="C542" s="76"/>
      <c r="D542" s="83">
        <v>3882300</v>
      </c>
      <c r="E542" s="73"/>
      <c r="F542" s="73"/>
    </row>
    <row r="543" spans="1:6" ht="18.95" customHeight="1" x14ac:dyDescent="0.55000000000000004">
      <c r="A543" s="74" t="s">
        <v>595</v>
      </c>
      <c r="B543" s="75"/>
      <c r="C543" s="82"/>
      <c r="D543" s="83">
        <v>529600</v>
      </c>
      <c r="E543" s="73"/>
      <c r="F543" s="73"/>
    </row>
    <row r="544" spans="1:6" ht="18.95" customHeight="1" x14ac:dyDescent="0.55000000000000004">
      <c r="A544" s="74" t="s">
        <v>596</v>
      </c>
      <c r="B544" s="84"/>
      <c r="C544" s="82"/>
      <c r="D544" s="83">
        <v>728335</v>
      </c>
      <c r="E544" s="73"/>
      <c r="F544" s="73"/>
    </row>
    <row r="545" spans="1:40" ht="18.95" customHeight="1" x14ac:dyDescent="0.55000000000000004">
      <c r="A545" s="74" t="s">
        <v>597</v>
      </c>
      <c r="B545" s="84"/>
      <c r="C545" s="82"/>
      <c r="D545" s="83">
        <v>13630</v>
      </c>
      <c r="E545" s="73"/>
      <c r="F545" s="73"/>
    </row>
    <row r="546" spans="1:40" ht="18.95" customHeight="1" x14ac:dyDescent="0.55000000000000004">
      <c r="A546" s="74" t="s">
        <v>604</v>
      </c>
      <c r="B546" s="84"/>
      <c r="C546" s="82"/>
      <c r="D546" s="83">
        <v>122400</v>
      </c>
      <c r="E546" s="73"/>
      <c r="F546" s="73"/>
    </row>
    <row r="547" spans="1:40" ht="18.95" customHeight="1" x14ac:dyDescent="0.55000000000000004">
      <c r="A547" s="74" t="s">
        <v>636</v>
      </c>
      <c r="B547" s="84"/>
      <c r="C547" s="82"/>
      <c r="D547" s="83">
        <v>4282000</v>
      </c>
      <c r="E547" s="73"/>
      <c r="F547" s="73"/>
    </row>
    <row r="548" spans="1:40" ht="18.95" customHeight="1" x14ac:dyDescent="0.55000000000000004">
      <c r="A548" s="74" t="s">
        <v>638</v>
      </c>
      <c r="B548" s="84"/>
      <c r="C548" s="82"/>
      <c r="D548" s="83">
        <v>2315425.64</v>
      </c>
      <c r="E548" s="73"/>
      <c r="F548" s="73"/>
    </row>
    <row r="549" spans="1:40" ht="18.95" customHeight="1" x14ac:dyDescent="0.55000000000000004">
      <c r="A549" s="74" t="s">
        <v>642</v>
      </c>
      <c r="B549" s="84"/>
      <c r="C549" s="82"/>
      <c r="D549" s="83">
        <v>1061725.6399999999</v>
      </c>
      <c r="E549" s="73"/>
      <c r="F549" s="73"/>
    </row>
    <row r="550" spans="1:40" ht="18.95" customHeight="1" x14ac:dyDescent="0.55000000000000004">
      <c r="A550" s="537" t="s">
        <v>543</v>
      </c>
      <c r="B550" s="84"/>
      <c r="C550" s="82"/>
      <c r="D550" s="83">
        <v>84320</v>
      </c>
      <c r="E550" s="73"/>
      <c r="F550" s="73"/>
    </row>
    <row r="551" spans="1:40" ht="18.95" customHeight="1" x14ac:dyDescent="0.55000000000000004">
      <c r="A551" s="386" t="s">
        <v>609</v>
      </c>
      <c r="B551" s="387"/>
      <c r="C551" s="535"/>
      <c r="D551" s="536">
        <v>107604</v>
      </c>
      <c r="E551" s="73"/>
      <c r="F551" s="73"/>
    </row>
    <row r="552" spans="1:40" ht="18.95" customHeight="1" thickBot="1" x14ac:dyDescent="0.6">
      <c r="A552" s="85"/>
      <c r="B552" s="385"/>
      <c r="C552" s="86">
        <f>SUM(C506:C551)</f>
        <v>42367385.930000007</v>
      </c>
      <c r="D552" s="87">
        <f>SUM(D506:D551)</f>
        <v>42367385.93</v>
      </c>
      <c r="E552" s="85"/>
      <c r="F552" s="381"/>
    </row>
    <row r="553" spans="1:40" ht="18.95" customHeight="1" thickTop="1" x14ac:dyDescent="0.45">
      <c r="A553" s="376" t="s">
        <v>599</v>
      </c>
      <c r="B553" s="376"/>
      <c r="C553" s="376"/>
      <c r="D553" s="376"/>
      <c r="E553" s="376"/>
      <c r="F553" s="376"/>
    </row>
    <row r="554" spans="1:40" ht="18.95" customHeight="1" x14ac:dyDescent="0.45">
      <c r="A554" s="578" t="s">
        <v>601</v>
      </c>
      <c r="B554" s="376"/>
      <c r="C554" s="376"/>
      <c r="D554" s="376"/>
      <c r="E554" s="376"/>
      <c r="F554" s="376"/>
    </row>
    <row r="555" spans="1:40" ht="18.95" customHeight="1" x14ac:dyDescent="0.45">
      <c r="A555" s="376" t="s">
        <v>639</v>
      </c>
      <c r="B555" s="376"/>
      <c r="C555" s="376"/>
      <c r="D555" s="376"/>
    </row>
    <row r="556" spans="1:40" ht="18.95" customHeight="1" x14ac:dyDescent="0.45">
      <c r="A556" s="376" t="s">
        <v>600</v>
      </c>
    </row>
    <row r="557" spans="1:40" ht="24" x14ac:dyDescent="0.55000000000000004">
      <c r="A557" s="839" t="s">
        <v>76</v>
      </c>
      <c r="B557" s="839"/>
      <c r="C557" s="839"/>
      <c r="D557" s="839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</row>
    <row r="558" spans="1:40" ht="16.5" customHeight="1" x14ac:dyDescent="0.55000000000000004">
      <c r="A558" s="839" t="s">
        <v>77</v>
      </c>
      <c r="B558" s="839"/>
      <c r="C558" s="839"/>
      <c r="D558" s="839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</row>
    <row r="559" spans="1:40" ht="15.75" customHeight="1" x14ac:dyDescent="0.55000000000000004">
      <c r="A559" s="840" t="s">
        <v>659</v>
      </c>
      <c r="B559" s="840"/>
      <c r="C559" s="840"/>
      <c r="D559" s="840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</row>
    <row r="560" spans="1:40" ht="21" customHeight="1" x14ac:dyDescent="0.45">
      <c r="A560" s="841" t="s">
        <v>10</v>
      </c>
      <c r="B560" s="843" t="s">
        <v>78</v>
      </c>
      <c r="C560" s="845" t="s">
        <v>79</v>
      </c>
      <c r="D560" s="845" t="s">
        <v>80</v>
      </c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</row>
    <row r="561" spans="1:40" ht="6" customHeight="1" x14ac:dyDescent="0.45">
      <c r="A561" s="842"/>
      <c r="B561" s="844"/>
      <c r="C561" s="846"/>
      <c r="D561" s="846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</row>
    <row r="562" spans="1:40" ht="18.95" customHeight="1" x14ac:dyDescent="0.55000000000000004">
      <c r="A562" s="377" t="s">
        <v>42</v>
      </c>
      <c r="B562" s="378"/>
      <c r="C562" s="379"/>
      <c r="D562" s="380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</row>
    <row r="563" spans="1:40" ht="18.95" customHeight="1" x14ac:dyDescent="0.55000000000000004">
      <c r="A563" s="74" t="s">
        <v>86</v>
      </c>
      <c r="B563" s="75" t="s">
        <v>82</v>
      </c>
      <c r="C563" s="379">
        <v>8594981.5500000007</v>
      </c>
      <c r="D563" s="380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</row>
    <row r="564" spans="1:40" ht="18.95" customHeight="1" x14ac:dyDescent="0.55000000000000004">
      <c r="A564" s="74" t="s">
        <v>83</v>
      </c>
      <c r="B564" s="75" t="s">
        <v>82</v>
      </c>
      <c r="C564" s="90">
        <v>4225444.96</v>
      </c>
      <c r="D564" s="380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</row>
    <row r="565" spans="1:40" ht="18.95" customHeight="1" x14ac:dyDescent="0.55000000000000004">
      <c r="A565" s="74" t="s">
        <v>84</v>
      </c>
      <c r="B565" s="75" t="s">
        <v>85</v>
      </c>
      <c r="C565" s="90">
        <v>6437.59</v>
      </c>
      <c r="D565" s="77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</row>
    <row r="566" spans="1:40" ht="18.95" customHeight="1" x14ac:dyDescent="0.55000000000000004">
      <c r="A566" s="74" t="s">
        <v>81</v>
      </c>
      <c r="B566" s="75" t="s">
        <v>82</v>
      </c>
      <c r="C566" s="90">
        <v>3077.69</v>
      </c>
      <c r="D566" s="77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</row>
    <row r="567" spans="1:40" ht="18.95" customHeight="1" x14ac:dyDescent="0.55000000000000004">
      <c r="A567" s="74" t="s">
        <v>503</v>
      </c>
      <c r="B567" s="75"/>
      <c r="C567" s="90"/>
      <c r="D567" s="77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</row>
    <row r="568" spans="1:40" ht="18.95" customHeight="1" x14ac:dyDescent="0.55000000000000004">
      <c r="A568" s="74" t="s">
        <v>104</v>
      </c>
      <c r="B568" s="75"/>
      <c r="C568" s="91"/>
      <c r="D568" s="77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</row>
    <row r="569" spans="1:40" ht="18.95" customHeight="1" x14ac:dyDescent="0.55000000000000004">
      <c r="A569" s="74" t="s">
        <v>40</v>
      </c>
      <c r="B569" s="75" t="s">
        <v>87</v>
      </c>
      <c r="C569" s="78"/>
      <c r="D569" s="77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</row>
    <row r="570" spans="1:40" ht="18.95" customHeight="1" x14ac:dyDescent="0.55000000000000004">
      <c r="A570" s="74" t="s">
        <v>88</v>
      </c>
      <c r="B570" s="75"/>
      <c r="C570" s="91">
        <v>1033203.68</v>
      </c>
      <c r="D570" s="77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  <c r="AL570" s="73"/>
      <c r="AM570" s="73"/>
      <c r="AN570" s="73"/>
    </row>
    <row r="571" spans="1:40" ht="18.95" customHeight="1" x14ac:dyDescent="0.55000000000000004">
      <c r="A571" s="74" t="s">
        <v>89</v>
      </c>
      <c r="B571" s="75" t="s">
        <v>36</v>
      </c>
      <c r="C571" s="91">
        <v>45140</v>
      </c>
      <c r="D571" s="77"/>
      <c r="E571" s="73"/>
      <c r="F571" s="73"/>
    </row>
    <row r="572" spans="1:40" ht="18.95" customHeight="1" x14ac:dyDescent="0.55000000000000004">
      <c r="A572" s="74" t="s">
        <v>90</v>
      </c>
      <c r="B572" s="75"/>
      <c r="C572" s="91">
        <v>32500</v>
      </c>
      <c r="D572" s="77"/>
      <c r="E572" s="73"/>
      <c r="F572" s="73"/>
    </row>
    <row r="573" spans="1:40" ht="18.95" customHeight="1" x14ac:dyDescent="0.55000000000000004">
      <c r="A573" s="74" t="s">
        <v>29</v>
      </c>
      <c r="B573" s="75" t="s">
        <v>91</v>
      </c>
      <c r="C573" s="91">
        <v>16946.099999999999</v>
      </c>
      <c r="D573" s="77"/>
      <c r="E573" s="73"/>
      <c r="F573" s="73"/>
    </row>
    <row r="574" spans="1:40" ht="18.95" customHeight="1" x14ac:dyDescent="0.55000000000000004">
      <c r="A574" s="74" t="s">
        <v>30</v>
      </c>
      <c r="B574" s="75" t="s">
        <v>92</v>
      </c>
      <c r="C574" s="91">
        <v>57680.95</v>
      </c>
      <c r="D574" s="77"/>
      <c r="E574" s="73"/>
      <c r="F574" s="73"/>
    </row>
    <row r="575" spans="1:40" ht="18.95" customHeight="1" x14ac:dyDescent="0.55000000000000004">
      <c r="A575" s="74" t="s">
        <v>41</v>
      </c>
      <c r="B575" s="75" t="s">
        <v>45</v>
      </c>
      <c r="C575" s="90">
        <v>1689271.61</v>
      </c>
      <c r="D575" s="77"/>
      <c r="E575" s="73"/>
      <c r="F575" s="73"/>
    </row>
    <row r="576" spans="1:40" ht="18.95" customHeight="1" x14ac:dyDescent="0.55000000000000004">
      <c r="A576" s="74" t="s">
        <v>93</v>
      </c>
      <c r="B576" s="75"/>
      <c r="C576" s="90">
        <v>3626400</v>
      </c>
      <c r="D576" s="77"/>
      <c r="E576" s="73"/>
      <c r="F576" s="73"/>
    </row>
    <row r="577" spans="1:6" ht="18.95" customHeight="1" x14ac:dyDescent="0.55000000000000004">
      <c r="A577" s="74" t="s">
        <v>94</v>
      </c>
      <c r="B577" s="75"/>
      <c r="C577" s="90">
        <v>501600</v>
      </c>
      <c r="D577" s="77"/>
      <c r="E577" s="73"/>
      <c r="F577" s="73"/>
    </row>
    <row r="578" spans="1:6" ht="18.95" customHeight="1" x14ac:dyDescent="0.55000000000000004">
      <c r="A578" s="74" t="s">
        <v>46</v>
      </c>
      <c r="B578" s="75" t="s">
        <v>95</v>
      </c>
      <c r="C578" s="90">
        <v>2405920</v>
      </c>
      <c r="D578" s="77"/>
      <c r="E578" s="73"/>
      <c r="F578" s="73"/>
    </row>
    <row r="579" spans="1:6" ht="18.95" customHeight="1" x14ac:dyDescent="0.55000000000000004">
      <c r="A579" s="74" t="s">
        <v>48</v>
      </c>
      <c r="B579" s="75" t="s">
        <v>47</v>
      </c>
      <c r="C579" s="90">
        <v>4733325.37</v>
      </c>
      <c r="D579" s="77"/>
      <c r="E579" s="73"/>
      <c r="F579" s="73"/>
    </row>
    <row r="580" spans="1:6" ht="18.95" customHeight="1" x14ac:dyDescent="0.55000000000000004">
      <c r="A580" s="74" t="s">
        <v>605</v>
      </c>
      <c r="B580" s="75"/>
      <c r="C580" s="90">
        <v>620066.5</v>
      </c>
      <c r="D580" s="77"/>
      <c r="E580" s="73"/>
      <c r="F580" s="73"/>
    </row>
    <row r="581" spans="1:6" ht="18.95" customHeight="1" x14ac:dyDescent="0.55000000000000004">
      <c r="A581" s="74" t="s">
        <v>49</v>
      </c>
      <c r="B581" s="75" t="s">
        <v>51</v>
      </c>
      <c r="C581" s="90">
        <v>111852</v>
      </c>
      <c r="D581" s="77"/>
      <c r="E581" s="73"/>
      <c r="F581" s="73"/>
    </row>
    <row r="582" spans="1:6" ht="18.95" customHeight="1" x14ac:dyDescent="0.55000000000000004">
      <c r="A582" s="74" t="s">
        <v>50</v>
      </c>
      <c r="B582" s="75" t="s">
        <v>53</v>
      </c>
      <c r="C582" s="90">
        <v>1545535.73</v>
      </c>
      <c r="D582" s="77"/>
      <c r="E582" s="73"/>
      <c r="F582" s="73"/>
    </row>
    <row r="583" spans="1:6" ht="18.95" customHeight="1" x14ac:dyDescent="0.55000000000000004">
      <c r="A583" s="74" t="s">
        <v>52</v>
      </c>
      <c r="B583" s="75" t="s">
        <v>55</v>
      </c>
      <c r="C583" s="78">
        <v>1068131.17</v>
      </c>
      <c r="D583" s="77"/>
      <c r="E583" s="73"/>
      <c r="F583" s="73"/>
    </row>
    <row r="584" spans="1:6" ht="18.95" customHeight="1" x14ac:dyDescent="0.55000000000000004">
      <c r="A584" s="74" t="s">
        <v>54</v>
      </c>
      <c r="B584" s="75" t="s">
        <v>56</v>
      </c>
      <c r="C584" s="78">
        <v>1366265.77</v>
      </c>
      <c r="D584" s="77"/>
      <c r="E584" s="73"/>
      <c r="F584" s="79"/>
    </row>
    <row r="585" spans="1:6" ht="18.95" customHeight="1" x14ac:dyDescent="0.55000000000000004">
      <c r="A585" s="74" t="s">
        <v>25</v>
      </c>
      <c r="B585" s="75" t="s">
        <v>96</v>
      </c>
      <c r="C585" s="80">
        <v>722000</v>
      </c>
      <c r="D585" s="77"/>
      <c r="E585" s="73"/>
      <c r="F585" s="73"/>
    </row>
    <row r="586" spans="1:6" ht="18.95" customHeight="1" x14ac:dyDescent="0.55000000000000004">
      <c r="A586" s="74" t="s">
        <v>57</v>
      </c>
      <c r="B586" s="75" t="s">
        <v>58</v>
      </c>
      <c r="C586" s="80">
        <v>311183.23</v>
      </c>
      <c r="D586" s="77"/>
      <c r="E586" s="73"/>
      <c r="F586" s="73"/>
    </row>
    <row r="587" spans="1:6" ht="18.95" customHeight="1" x14ac:dyDescent="0.55000000000000004">
      <c r="A587" s="74" t="s">
        <v>59</v>
      </c>
      <c r="B587" s="75" t="s">
        <v>60</v>
      </c>
      <c r="C587" s="78">
        <v>3653000</v>
      </c>
      <c r="D587" s="77"/>
      <c r="E587" s="73"/>
      <c r="F587" s="73"/>
    </row>
    <row r="588" spans="1:6" ht="18.95" customHeight="1" x14ac:dyDescent="0.55000000000000004">
      <c r="A588" s="74" t="s">
        <v>642</v>
      </c>
      <c r="B588" s="75"/>
      <c r="C588" s="78">
        <v>2315425.64</v>
      </c>
      <c r="D588" s="77"/>
      <c r="E588" s="73"/>
      <c r="F588" s="73"/>
    </row>
    <row r="589" spans="1:6" ht="18.95" customHeight="1" x14ac:dyDescent="0.55000000000000004">
      <c r="A589" s="74" t="s">
        <v>591</v>
      </c>
      <c r="B589" s="75"/>
      <c r="C589" s="78">
        <v>4282000</v>
      </c>
      <c r="D589" s="77"/>
      <c r="E589" s="73"/>
      <c r="F589" s="73"/>
    </row>
    <row r="590" spans="1:6" ht="18.95" customHeight="1" x14ac:dyDescent="0.55000000000000004">
      <c r="A590" s="74" t="s">
        <v>638</v>
      </c>
      <c r="B590" s="75"/>
      <c r="C590" s="78">
        <v>3390025.64</v>
      </c>
      <c r="D590" s="77"/>
      <c r="E590" s="73"/>
      <c r="F590" s="73"/>
    </row>
    <row r="591" spans="1:6" ht="18.95" customHeight="1" x14ac:dyDescent="0.55000000000000004">
      <c r="A591" s="74" t="s">
        <v>660</v>
      </c>
      <c r="B591" s="75"/>
      <c r="C591" s="78">
        <v>122400</v>
      </c>
      <c r="D591" s="77"/>
      <c r="E591" s="73"/>
      <c r="F591" s="73"/>
    </row>
    <row r="592" spans="1:6" ht="18.95" customHeight="1" x14ac:dyDescent="0.55000000000000004">
      <c r="A592" s="74" t="s">
        <v>98</v>
      </c>
      <c r="B592" s="75" t="s">
        <v>99</v>
      </c>
      <c r="C592" s="76"/>
      <c r="D592" s="77">
        <v>20359972.129999999</v>
      </c>
      <c r="E592" s="73"/>
      <c r="F592" s="73"/>
    </row>
    <row r="593" spans="1:6" ht="18.95" customHeight="1" x14ac:dyDescent="0.55000000000000004">
      <c r="A593" s="74" t="s">
        <v>100</v>
      </c>
      <c r="B593" s="75"/>
      <c r="C593" s="76"/>
      <c r="D593" s="77">
        <v>1300</v>
      </c>
      <c r="E593" s="73"/>
      <c r="F593" s="73"/>
    </row>
    <row r="594" spans="1:6" ht="18.95" customHeight="1" x14ac:dyDescent="0.55000000000000004">
      <c r="A594" s="74" t="s">
        <v>105</v>
      </c>
      <c r="B594" s="75"/>
      <c r="C594" s="76"/>
      <c r="D594" s="77">
        <v>0</v>
      </c>
      <c r="E594" s="73"/>
      <c r="F594" s="73"/>
    </row>
    <row r="595" spans="1:6" ht="18.95" customHeight="1" x14ac:dyDescent="0.55000000000000004">
      <c r="A595" s="74" t="s">
        <v>71</v>
      </c>
      <c r="B595" s="75"/>
      <c r="C595" s="76"/>
      <c r="D595" s="77">
        <v>0</v>
      </c>
      <c r="E595" s="73"/>
      <c r="F595" s="73"/>
    </row>
    <row r="596" spans="1:6" ht="18.95" customHeight="1" x14ac:dyDescent="0.55000000000000004">
      <c r="A596" s="74" t="s">
        <v>101</v>
      </c>
      <c r="B596" s="75" t="s">
        <v>38</v>
      </c>
      <c r="C596" s="76"/>
      <c r="D596" s="81">
        <f>1016305.46+874-40.6+39.4+383.18</f>
        <v>1017561.4400000001</v>
      </c>
      <c r="E596" s="73"/>
      <c r="F596" s="73"/>
    </row>
    <row r="597" spans="1:6" ht="18.95" customHeight="1" x14ac:dyDescent="0.55000000000000004">
      <c r="A597" s="74" t="s">
        <v>33</v>
      </c>
      <c r="B597" s="75" t="s">
        <v>34</v>
      </c>
      <c r="C597" s="76"/>
      <c r="D597" s="81">
        <v>2858498.97</v>
      </c>
      <c r="E597" s="73"/>
      <c r="F597" s="73"/>
    </row>
    <row r="598" spans="1:6" ht="18.95" customHeight="1" x14ac:dyDescent="0.55000000000000004">
      <c r="A598" s="74" t="s">
        <v>102</v>
      </c>
      <c r="B598" s="75" t="s">
        <v>103</v>
      </c>
      <c r="C598" s="76"/>
      <c r="D598" s="77">
        <v>6679869.3600000003</v>
      </c>
      <c r="E598" s="73"/>
      <c r="F598" s="73"/>
    </row>
    <row r="599" spans="1:6" ht="18.95" customHeight="1" x14ac:dyDescent="0.55000000000000004">
      <c r="A599" s="74" t="s">
        <v>594</v>
      </c>
      <c r="B599" s="75"/>
      <c r="C599" s="76"/>
      <c r="D599" s="83">
        <v>3882300</v>
      </c>
      <c r="E599" s="73"/>
      <c r="F599" s="73"/>
    </row>
    <row r="600" spans="1:6" ht="18.95" customHeight="1" x14ac:dyDescent="0.55000000000000004">
      <c r="A600" s="74" t="s">
        <v>595</v>
      </c>
      <c r="B600" s="75"/>
      <c r="C600" s="82"/>
      <c r="D600" s="83">
        <v>540000</v>
      </c>
      <c r="E600" s="73"/>
      <c r="F600" s="73"/>
    </row>
    <row r="601" spans="1:6" ht="18.95" customHeight="1" x14ac:dyDescent="0.55000000000000004">
      <c r="A601" s="74" t="s">
        <v>596</v>
      </c>
      <c r="B601" s="84"/>
      <c r="C601" s="82"/>
      <c r="D601" s="83">
        <v>728335</v>
      </c>
      <c r="E601" s="73"/>
      <c r="F601" s="73"/>
    </row>
    <row r="602" spans="1:6" ht="18.95" customHeight="1" x14ac:dyDescent="0.55000000000000004">
      <c r="A602" s="74" t="s">
        <v>597</v>
      </c>
      <c r="B602" s="84"/>
      <c r="C602" s="82"/>
      <c r="D602" s="83">
        <v>13630</v>
      </c>
      <c r="E602" s="73"/>
      <c r="F602" s="73"/>
    </row>
    <row r="603" spans="1:6" ht="18.95" customHeight="1" x14ac:dyDescent="0.55000000000000004">
      <c r="A603" s="74" t="s">
        <v>604</v>
      </c>
      <c r="B603" s="84"/>
      <c r="C603" s="82"/>
      <c r="D603" s="83">
        <v>122400</v>
      </c>
      <c r="E603" s="73"/>
      <c r="F603" s="73"/>
    </row>
    <row r="604" spans="1:6" ht="18.95" customHeight="1" x14ac:dyDescent="0.55000000000000004">
      <c r="A604" s="74" t="s">
        <v>636</v>
      </c>
      <c r="B604" s="84"/>
      <c r="C604" s="82"/>
      <c r="D604" s="83">
        <v>4282000</v>
      </c>
      <c r="E604" s="73"/>
      <c r="F604" s="73"/>
    </row>
    <row r="605" spans="1:6" ht="18.95" customHeight="1" x14ac:dyDescent="0.55000000000000004">
      <c r="A605" s="74" t="s">
        <v>638</v>
      </c>
      <c r="B605" s="84"/>
      <c r="C605" s="82"/>
      <c r="D605" s="83">
        <v>3390025.64</v>
      </c>
      <c r="E605" s="73"/>
      <c r="F605" s="73"/>
    </row>
    <row r="606" spans="1:6" ht="18.95" customHeight="1" x14ac:dyDescent="0.55000000000000004">
      <c r="A606" s="74" t="s">
        <v>642</v>
      </c>
      <c r="B606" s="84"/>
      <c r="C606" s="82"/>
      <c r="D606" s="83">
        <v>2315425.64</v>
      </c>
      <c r="E606" s="73"/>
      <c r="F606" s="73"/>
    </row>
    <row r="607" spans="1:6" ht="18.95" customHeight="1" x14ac:dyDescent="0.55000000000000004">
      <c r="A607" s="537" t="s">
        <v>664</v>
      </c>
      <c r="B607" s="84"/>
      <c r="C607" s="82"/>
      <c r="D607" s="83">
        <v>3</v>
      </c>
      <c r="E607" s="73"/>
      <c r="F607" s="73"/>
    </row>
    <row r="608" spans="1:6" ht="18.95" customHeight="1" x14ac:dyDescent="0.55000000000000004">
      <c r="A608" s="537" t="s">
        <v>543</v>
      </c>
      <c r="B608" s="84"/>
      <c r="C608" s="82"/>
      <c r="D608" s="83">
        <v>84320</v>
      </c>
      <c r="E608" s="73"/>
      <c r="F608" s="73"/>
    </row>
    <row r="609" spans="1:40" ht="18.95" customHeight="1" x14ac:dyDescent="0.55000000000000004">
      <c r="A609" s="386" t="s">
        <v>609</v>
      </c>
      <c r="B609" s="387"/>
      <c r="C609" s="535"/>
      <c r="D609" s="536">
        <v>204174</v>
      </c>
      <c r="E609" s="73"/>
      <c r="F609" s="73"/>
    </row>
    <row r="610" spans="1:40" ht="18.95" customHeight="1" thickBot="1" x14ac:dyDescent="0.6">
      <c r="A610" s="85"/>
      <c r="B610" s="385"/>
      <c r="C610" s="86">
        <f>SUM(C562:C609)</f>
        <v>46479815.18</v>
      </c>
      <c r="D610" s="87">
        <f>SUM(D562:D609)</f>
        <v>46479815.18</v>
      </c>
      <c r="E610" s="85"/>
      <c r="F610" s="381"/>
    </row>
    <row r="611" spans="1:40" ht="18.95" customHeight="1" thickTop="1" x14ac:dyDescent="0.45">
      <c r="A611" s="376" t="s">
        <v>599</v>
      </c>
      <c r="B611" s="376"/>
      <c r="C611" s="376"/>
      <c r="D611" s="376"/>
      <c r="E611" s="376"/>
      <c r="F611" s="376"/>
    </row>
    <row r="612" spans="1:40" ht="14.25" customHeight="1" x14ac:dyDescent="0.45">
      <c r="A612" s="593" t="s">
        <v>601</v>
      </c>
      <c r="B612" s="376"/>
      <c r="C612" s="376"/>
      <c r="D612" s="376"/>
      <c r="E612" s="376"/>
      <c r="F612" s="376"/>
    </row>
    <row r="613" spans="1:40" ht="13.5" customHeight="1" x14ac:dyDescent="0.45">
      <c r="A613" s="376" t="s">
        <v>639</v>
      </c>
      <c r="B613" s="376"/>
      <c r="C613" s="376"/>
      <c r="D613" s="376"/>
    </row>
    <row r="614" spans="1:40" ht="12.75" customHeight="1" x14ac:dyDescent="0.45">
      <c r="A614" s="376" t="s">
        <v>600</v>
      </c>
    </row>
    <row r="615" spans="1:40" ht="24" x14ac:dyDescent="0.55000000000000004">
      <c r="A615" s="839" t="s">
        <v>76</v>
      </c>
      <c r="B615" s="839"/>
      <c r="C615" s="839"/>
      <c r="D615" s="839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</row>
    <row r="616" spans="1:40" ht="18" customHeight="1" x14ac:dyDescent="0.55000000000000004">
      <c r="A616" s="839" t="s">
        <v>673</v>
      </c>
      <c r="B616" s="839"/>
      <c r="C616" s="839"/>
      <c r="D616" s="839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</row>
    <row r="617" spans="1:40" ht="15.75" customHeight="1" x14ac:dyDescent="0.55000000000000004">
      <c r="A617" s="840" t="s">
        <v>665</v>
      </c>
      <c r="B617" s="840"/>
      <c r="C617" s="840"/>
      <c r="D617" s="840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</row>
    <row r="618" spans="1:40" ht="21" customHeight="1" x14ac:dyDescent="0.45">
      <c r="A618" s="841" t="s">
        <v>10</v>
      </c>
      <c r="B618" s="843" t="s">
        <v>78</v>
      </c>
      <c r="C618" s="845" t="s">
        <v>79</v>
      </c>
      <c r="D618" s="845" t="s">
        <v>80</v>
      </c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</row>
    <row r="619" spans="1:40" ht="6" customHeight="1" x14ac:dyDescent="0.45">
      <c r="A619" s="842"/>
      <c r="B619" s="844"/>
      <c r="C619" s="846"/>
      <c r="D619" s="846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</row>
    <row r="620" spans="1:40" ht="18.95" customHeight="1" x14ac:dyDescent="0.55000000000000004">
      <c r="A620" s="377" t="s">
        <v>42</v>
      </c>
      <c r="B620" s="378"/>
      <c r="C620" s="379"/>
      <c r="D620" s="380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</row>
    <row r="621" spans="1:40" ht="18.95" customHeight="1" x14ac:dyDescent="0.55000000000000004">
      <c r="A621" s="74" t="s">
        <v>86</v>
      </c>
      <c r="B621" s="75" t="s">
        <v>82</v>
      </c>
      <c r="C621" s="379">
        <v>8091747.25</v>
      </c>
      <c r="D621" s="380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</row>
    <row r="622" spans="1:40" ht="18.95" customHeight="1" x14ac:dyDescent="0.55000000000000004">
      <c r="A622" s="74" t="s">
        <v>83</v>
      </c>
      <c r="B622" s="75" t="s">
        <v>82</v>
      </c>
      <c r="C622" s="90">
        <v>4033198.93</v>
      </c>
      <c r="D622" s="380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</row>
    <row r="623" spans="1:40" ht="18.95" customHeight="1" x14ac:dyDescent="0.55000000000000004">
      <c r="A623" s="74" t="s">
        <v>84</v>
      </c>
      <c r="B623" s="75" t="s">
        <v>85</v>
      </c>
      <c r="C623" s="90">
        <v>6451.19</v>
      </c>
      <c r="D623" s="77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</row>
    <row r="624" spans="1:40" ht="18.95" customHeight="1" x14ac:dyDescent="0.55000000000000004">
      <c r="A624" s="74" t="s">
        <v>81</v>
      </c>
      <c r="B624" s="75" t="s">
        <v>82</v>
      </c>
      <c r="C624" s="90">
        <v>3084.19</v>
      </c>
      <c r="D624" s="77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/>
    </row>
    <row r="625" spans="1:40" ht="18.95" customHeight="1" x14ac:dyDescent="0.55000000000000004">
      <c r="A625" s="74" t="s">
        <v>503</v>
      </c>
      <c r="B625" s="75"/>
      <c r="C625" s="90"/>
      <c r="D625" s="77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</row>
    <row r="626" spans="1:40" ht="18.95" customHeight="1" x14ac:dyDescent="0.55000000000000004">
      <c r="A626" s="74" t="s">
        <v>104</v>
      </c>
      <c r="B626" s="75"/>
      <c r="C626" s="91"/>
      <c r="D626" s="77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/>
    </row>
    <row r="627" spans="1:40" ht="18.95" customHeight="1" x14ac:dyDescent="0.55000000000000004">
      <c r="A627" s="74" t="s">
        <v>40</v>
      </c>
      <c r="B627" s="75" t="s">
        <v>87</v>
      </c>
      <c r="C627" s="78"/>
      <c r="D627" s="77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</row>
    <row r="628" spans="1:40" ht="18.95" customHeight="1" x14ac:dyDescent="0.55000000000000004">
      <c r="A628" s="74" t="s">
        <v>88</v>
      </c>
      <c r="B628" s="75"/>
      <c r="C628" s="91">
        <v>1033203.68</v>
      </c>
      <c r="D628" s="77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/>
    </row>
    <row r="629" spans="1:40" ht="18.95" customHeight="1" x14ac:dyDescent="0.55000000000000004">
      <c r="A629" s="74" t="s">
        <v>89</v>
      </c>
      <c r="B629" s="75" t="s">
        <v>36</v>
      </c>
      <c r="C629" s="91">
        <v>52540</v>
      </c>
      <c r="D629" s="77"/>
      <c r="E629" s="73"/>
      <c r="F629" s="73"/>
    </row>
    <row r="630" spans="1:40" ht="18.95" customHeight="1" x14ac:dyDescent="0.55000000000000004">
      <c r="A630" s="74" t="s">
        <v>90</v>
      </c>
      <c r="B630" s="75"/>
      <c r="C630" s="91"/>
      <c r="D630" s="77"/>
      <c r="E630" s="73"/>
      <c r="F630" s="73"/>
    </row>
    <row r="631" spans="1:40" ht="18.95" customHeight="1" x14ac:dyDescent="0.55000000000000004">
      <c r="A631" s="74" t="s">
        <v>29</v>
      </c>
      <c r="B631" s="75" t="s">
        <v>91</v>
      </c>
      <c r="C631" s="91">
        <v>16816.900000000001</v>
      </c>
      <c r="D631" s="77"/>
      <c r="E631" s="73"/>
      <c r="F631" s="73"/>
    </row>
    <row r="632" spans="1:40" ht="18.95" customHeight="1" x14ac:dyDescent="0.55000000000000004">
      <c r="A632" s="74" t="s">
        <v>30</v>
      </c>
      <c r="B632" s="75" t="s">
        <v>92</v>
      </c>
      <c r="C632" s="91">
        <v>18694</v>
      </c>
      <c r="D632" s="77"/>
      <c r="E632" s="73"/>
      <c r="F632" s="73"/>
    </row>
    <row r="633" spans="1:40" ht="18.95" customHeight="1" x14ac:dyDescent="0.55000000000000004">
      <c r="A633" s="74" t="s">
        <v>41</v>
      </c>
      <c r="B633" s="75" t="s">
        <v>45</v>
      </c>
      <c r="C633" s="90">
        <v>1800174.21</v>
      </c>
      <c r="D633" s="77"/>
      <c r="E633" s="73"/>
      <c r="F633" s="73"/>
    </row>
    <row r="634" spans="1:40" ht="18.95" customHeight="1" x14ac:dyDescent="0.55000000000000004">
      <c r="A634" s="74" t="s">
        <v>93</v>
      </c>
      <c r="B634" s="75"/>
      <c r="C634" s="90">
        <v>3947500</v>
      </c>
      <c r="D634" s="77"/>
      <c r="E634" s="73"/>
      <c r="F634" s="73"/>
    </row>
    <row r="635" spans="1:40" ht="18.95" customHeight="1" x14ac:dyDescent="0.55000000000000004">
      <c r="A635" s="74" t="s">
        <v>94</v>
      </c>
      <c r="B635" s="75"/>
      <c r="C635" s="90">
        <v>546400</v>
      </c>
      <c r="D635" s="77"/>
      <c r="E635" s="73"/>
      <c r="F635" s="73"/>
    </row>
    <row r="636" spans="1:40" ht="18.95" customHeight="1" x14ac:dyDescent="0.55000000000000004">
      <c r="A636" s="74" t="s">
        <v>46</v>
      </c>
      <c r="B636" s="75" t="s">
        <v>95</v>
      </c>
      <c r="C636" s="90">
        <v>2624640</v>
      </c>
      <c r="D636" s="77"/>
      <c r="E636" s="73"/>
      <c r="F636" s="73"/>
    </row>
    <row r="637" spans="1:40" ht="18.95" customHeight="1" x14ac:dyDescent="0.55000000000000004">
      <c r="A637" s="74" t="s">
        <v>48</v>
      </c>
      <c r="B637" s="75" t="s">
        <v>47</v>
      </c>
      <c r="C637" s="90">
        <v>5113190.37</v>
      </c>
      <c r="D637" s="77"/>
      <c r="E637" s="73"/>
      <c r="F637" s="73"/>
    </row>
    <row r="638" spans="1:40" ht="18.95" customHeight="1" x14ac:dyDescent="0.55000000000000004">
      <c r="A638" s="74" t="s">
        <v>605</v>
      </c>
      <c r="B638" s="75"/>
      <c r="C638" s="90">
        <v>735166.5</v>
      </c>
      <c r="D638" s="77"/>
      <c r="E638" s="73"/>
      <c r="F638" s="73"/>
    </row>
    <row r="639" spans="1:40" ht="18.95" customHeight="1" x14ac:dyDescent="0.55000000000000004">
      <c r="A639" s="74" t="s">
        <v>49</v>
      </c>
      <c r="B639" s="75" t="s">
        <v>51</v>
      </c>
      <c r="C639" s="90">
        <v>128502</v>
      </c>
      <c r="D639" s="77"/>
      <c r="E639" s="73"/>
      <c r="F639" s="73"/>
    </row>
    <row r="640" spans="1:40" ht="18.95" customHeight="1" x14ac:dyDescent="0.55000000000000004">
      <c r="A640" s="74" t="s">
        <v>50</v>
      </c>
      <c r="B640" s="75" t="s">
        <v>53</v>
      </c>
      <c r="C640" s="90">
        <v>1740650.73</v>
      </c>
      <c r="D640" s="77"/>
      <c r="E640" s="73"/>
      <c r="F640" s="73"/>
    </row>
    <row r="641" spans="1:6" ht="18.95" customHeight="1" x14ac:dyDescent="0.55000000000000004">
      <c r="A641" s="74" t="s">
        <v>52</v>
      </c>
      <c r="B641" s="75" t="s">
        <v>55</v>
      </c>
      <c r="C641" s="78">
        <v>1331574.8600000001</v>
      </c>
      <c r="D641" s="77"/>
      <c r="E641" s="73"/>
      <c r="F641" s="73"/>
    </row>
    <row r="642" spans="1:6" ht="18.95" customHeight="1" x14ac:dyDescent="0.55000000000000004">
      <c r="A642" s="74" t="s">
        <v>54</v>
      </c>
      <c r="B642" s="75" t="s">
        <v>56</v>
      </c>
      <c r="C642" s="78">
        <v>1547952.94</v>
      </c>
      <c r="D642" s="77"/>
      <c r="E642" s="73"/>
      <c r="F642" s="79"/>
    </row>
    <row r="643" spans="1:6" ht="18.95" customHeight="1" x14ac:dyDescent="0.55000000000000004">
      <c r="A643" s="74" t="s">
        <v>25</v>
      </c>
      <c r="B643" s="75" t="s">
        <v>96</v>
      </c>
      <c r="C643" s="80">
        <v>774500</v>
      </c>
      <c r="D643" s="77"/>
      <c r="E643" s="73"/>
      <c r="F643" s="73"/>
    </row>
    <row r="644" spans="1:6" ht="18.95" customHeight="1" x14ac:dyDescent="0.55000000000000004">
      <c r="A644" s="74" t="s">
        <v>57</v>
      </c>
      <c r="B644" s="75" t="s">
        <v>58</v>
      </c>
      <c r="C644" s="80">
        <v>294283.23</v>
      </c>
      <c r="D644" s="77"/>
      <c r="E644" s="73"/>
      <c r="F644" s="73"/>
    </row>
    <row r="645" spans="1:6" ht="18.95" customHeight="1" x14ac:dyDescent="0.55000000000000004">
      <c r="A645" s="74" t="s">
        <v>59</v>
      </c>
      <c r="B645" s="75" t="s">
        <v>60</v>
      </c>
      <c r="C645" s="78">
        <v>3815800</v>
      </c>
      <c r="D645" s="77"/>
      <c r="E645" s="73"/>
      <c r="F645" s="73"/>
    </row>
    <row r="646" spans="1:6" ht="18.95" customHeight="1" x14ac:dyDescent="0.55000000000000004">
      <c r="A646" s="74" t="s">
        <v>642</v>
      </c>
      <c r="B646" s="75"/>
      <c r="C646" s="78">
        <v>2315425.64</v>
      </c>
      <c r="D646" s="77"/>
      <c r="E646" s="73"/>
      <c r="F646" s="73"/>
    </row>
    <row r="647" spans="1:6" ht="18.95" customHeight="1" x14ac:dyDescent="0.55000000000000004">
      <c r="A647" s="74" t="s">
        <v>591</v>
      </c>
      <c r="B647" s="75"/>
      <c r="C647" s="78">
        <v>4282000</v>
      </c>
      <c r="D647" s="77"/>
      <c r="E647" s="73"/>
      <c r="F647" s="73"/>
    </row>
    <row r="648" spans="1:6" ht="18.95" customHeight="1" x14ac:dyDescent="0.55000000000000004">
      <c r="A648" s="74" t="s">
        <v>638</v>
      </c>
      <c r="B648" s="75"/>
      <c r="C648" s="78">
        <v>3390025.64</v>
      </c>
      <c r="D648" s="77"/>
      <c r="E648" s="73"/>
      <c r="F648" s="73"/>
    </row>
    <row r="649" spans="1:6" ht="18.95" customHeight="1" x14ac:dyDescent="0.55000000000000004">
      <c r="A649" s="74" t="s">
        <v>660</v>
      </c>
      <c r="B649" s="75"/>
      <c r="C649" s="78">
        <v>122400</v>
      </c>
      <c r="D649" s="77"/>
      <c r="E649" s="73"/>
      <c r="F649" s="73"/>
    </row>
    <row r="650" spans="1:6" ht="18.95" customHeight="1" x14ac:dyDescent="0.55000000000000004">
      <c r="A650" s="537" t="s">
        <v>668</v>
      </c>
      <c r="B650" s="75"/>
      <c r="C650" s="78">
        <v>8000</v>
      </c>
      <c r="D650" s="77"/>
      <c r="E650" s="73"/>
      <c r="F650" s="73"/>
    </row>
    <row r="651" spans="1:6" ht="18.95" customHeight="1" x14ac:dyDescent="0.55000000000000004">
      <c r="A651" s="537" t="s">
        <v>671</v>
      </c>
      <c r="B651" s="75"/>
      <c r="C651" s="78">
        <v>12590</v>
      </c>
      <c r="D651" s="77"/>
      <c r="E651" s="73"/>
      <c r="F651" s="73"/>
    </row>
    <row r="652" spans="1:6" ht="18.95" customHeight="1" x14ac:dyDescent="0.55000000000000004">
      <c r="A652" s="74" t="s">
        <v>98</v>
      </c>
      <c r="B652" s="75" t="s">
        <v>99</v>
      </c>
      <c r="C652" s="76"/>
      <c r="D652" s="77">
        <f>21892344.6+13586.3+6.5+13.6</f>
        <v>21905951.000000004</v>
      </c>
      <c r="E652" s="73"/>
      <c r="F652" s="73"/>
    </row>
    <row r="653" spans="1:6" ht="18.95" customHeight="1" x14ac:dyDescent="0.55000000000000004">
      <c r="A653" s="74" t="s">
        <v>100</v>
      </c>
      <c r="B653" s="75"/>
      <c r="C653" s="76"/>
      <c r="D653" s="77">
        <v>1300</v>
      </c>
      <c r="E653" s="73"/>
      <c r="F653" s="73"/>
    </row>
    <row r="654" spans="1:6" ht="18.95" customHeight="1" x14ac:dyDescent="0.55000000000000004">
      <c r="A654" s="74" t="s">
        <v>105</v>
      </c>
      <c r="B654" s="75"/>
      <c r="C654" s="76"/>
      <c r="D654" s="77">
        <v>0</v>
      </c>
      <c r="E654" s="73"/>
      <c r="F654" s="73"/>
    </row>
    <row r="655" spans="1:6" ht="18.95" customHeight="1" x14ac:dyDescent="0.55000000000000004">
      <c r="A655" s="74" t="s">
        <v>71</v>
      </c>
      <c r="B655" s="75"/>
      <c r="C655" s="76"/>
      <c r="D655" s="77">
        <v>0</v>
      </c>
      <c r="E655" s="73"/>
      <c r="F655" s="73"/>
    </row>
    <row r="656" spans="1:6" ht="18.95" customHeight="1" x14ac:dyDescent="0.55000000000000004">
      <c r="A656" s="74" t="s">
        <v>101</v>
      </c>
      <c r="B656" s="75" t="s">
        <v>38</v>
      </c>
      <c r="C656" s="76"/>
      <c r="D656" s="81">
        <f>879480+26031.83+11280.8+11467+874+16500</f>
        <v>945633.63</v>
      </c>
      <c r="E656" s="73"/>
      <c r="F656" s="73"/>
    </row>
    <row r="657" spans="1:6" ht="18.95" customHeight="1" x14ac:dyDescent="0.55000000000000004">
      <c r="A657" s="74" t="s">
        <v>33</v>
      </c>
      <c r="B657" s="75" t="s">
        <v>34</v>
      </c>
      <c r="C657" s="76"/>
      <c r="D657" s="81">
        <v>2858498.98</v>
      </c>
      <c r="E657" s="73"/>
      <c r="F657" s="73"/>
    </row>
    <row r="658" spans="1:6" ht="18.95" customHeight="1" x14ac:dyDescent="0.55000000000000004">
      <c r="A658" s="74" t="s">
        <v>102</v>
      </c>
      <c r="B658" s="75" t="s">
        <v>103</v>
      </c>
      <c r="C658" s="76"/>
      <c r="D658" s="77">
        <v>6679869.3600000003</v>
      </c>
      <c r="E658" s="73"/>
      <c r="F658" s="73"/>
    </row>
    <row r="659" spans="1:6" ht="18.95" customHeight="1" x14ac:dyDescent="0.55000000000000004">
      <c r="A659" s="74" t="s">
        <v>594</v>
      </c>
      <c r="B659" s="75"/>
      <c r="C659" s="76"/>
      <c r="D659" s="83">
        <v>3948800</v>
      </c>
      <c r="E659" s="73"/>
      <c r="F659" s="73"/>
    </row>
    <row r="660" spans="1:6" ht="18.95" customHeight="1" x14ac:dyDescent="0.55000000000000004">
      <c r="A660" s="74" t="s">
        <v>595</v>
      </c>
      <c r="B660" s="75"/>
      <c r="C660" s="82"/>
      <c r="D660" s="83">
        <v>546400</v>
      </c>
      <c r="E660" s="73"/>
      <c r="F660" s="73"/>
    </row>
    <row r="661" spans="1:6" ht="18.95" customHeight="1" x14ac:dyDescent="0.55000000000000004">
      <c r="A661" s="74" t="s">
        <v>596</v>
      </c>
      <c r="B661" s="84"/>
      <c r="C661" s="82"/>
      <c r="D661" s="83">
        <v>768575</v>
      </c>
      <c r="E661" s="73"/>
      <c r="F661" s="73"/>
    </row>
    <row r="662" spans="1:6" ht="18.95" customHeight="1" x14ac:dyDescent="0.55000000000000004">
      <c r="A662" s="74" t="s">
        <v>597</v>
      </c>
      <c r="B662" s="84"/>
      <c r="C662" s="82"/>
      <c r="D662" s="83">
        <v>13630</v>
      </c>
      <c r="E662" s="73"/>
      <c r="F662" s="73"/>
    </row>
    <row r="663" spans="1:6" ht="18.95" customHeight="1" x14ac:dyDescent="0.55000000000000004">
      <c r="A663" s="74" t="s">
        <v>604</v>
      </c>
      <c r="B663" s="84"/>
      <c r="C663" s="82"/>
      <c r="D663" s="83">
        <v>122400</v>
      </c>
      <c r="E663" s="73"/>
      <c r="F663" s="73"/>
    </row>
    <row r="664" spans="1:6" ht="18.95" customHeight="1" x14ac:dyDescent="0.55000000000000004">
      <c r="A664" s="74" t="s">
        <v>636</v>
      </c>
      <c r="B664" s="84"/>
      <c r="C664" s="82"/>
      <c r="D664" s="83">
        <v>4282000</v>
      </c>
      <c r="E664" s="73"/>
      <c r="F664" s="73"/>
    </row>
    <row r="665" spans="1:6" ht="18.95" customHeight="1" x14ac:dyDescent="0.55000000000000004">
      <c r="A665" s="74" t="s">
        <v>638</v>
      </c>
      <c r="B665" s="84"/>
      <c r="C665" s="82"/>
      <c r="D665" s="83">
        <v>3390025.64</v>
      </c>
      <c r="E665" s="73"/>
      <c r="F665" s="73"/>
    </row>
    <row r="666" spans="1:6" ht="18.95" customHeight="1" x14ac:dyDescent="0.55000000000000004">
      <c r="A666" s="74" t="s">
        <v>642</v>
      </c>
      <c r="B666" s="84"/>
      <c r="C666" s="82"/>
      <c r="D666" s="83">
        <v>2315425.64</v>
      </c>
      <c r="E666" s="73"/>
      <c r="F666" s="73"/>
    </row>
    <row r="667" spans="1:6" ht="18.95" customHeight="1" x14ac:dyDescent="0.55000000000000004">
      <c r="A667" s="537" t="s">
        <v>664</v>
      </c>
      <c r="B667" s="84"/>
      <c r="C667" s="82"/>
      <c r="D667" s="83">
        <v>3</v>
      </c>
      <c r="E667" s="73"/>
      <c r="F667" s="73"/>
    </row>
    <row r="668" spans="1:6" ht="18.95" customHeight="1" x14ac:dyDescent="0.55000000000000004">
      <c r="A668" s="537" t="s">
        <v>668</v>
      </c>
      <c r="B668" s="84"/>
      <c r="C668" s="82"/>
      <c r="D668" s="83">
        <v>8000</v>
      </c>
      <c r="E668" s="73"/>
      <c r="F668" s="73"/>
    </row>
    <row r="669" spans="1:6" ht="18.95" customHeight="1" x14ac:dyDescent="0.55000000000000004">
      <c r="A669" s="537" t="s">
        <v>503</v>
      </c>
      <c r="B669" s="84"/>
      <c r="C669" s="82"/>
      <c r="D669" s="83">
        <v>0.01</v>
      </c>
      <c r="E669" s="73"/>
      <c r="F669" s="73"/>
    </row>
    <row r="670" spans="1:6" ht="18.95" customHeight="1" x14ac:dyDescent="0.55000000000000004">
      <c r="A670" s="386"/>
      <c r="B670" s="387"/>
      <c r="C670" s="535"/>
      <c r="D670" s="536"/>
      <c r="E670" s="73"/>
      <c r="F670" s="73"/>
    </row>
    <row r="671" spans="1:6" ht="18.95" customHeight="1" thickBot="1" x14ac:dyDescent="0.6">
      <c r="A671" s="85"/>
      <c r="B671" s="385"/>
      <c r="C671" s="86">
        <f>SUM(C620:C670)</f>
        <v>47786512.259999998</v>
      </c>
      <c r="D671" s="87">
        <f>SUM(D620:D670)</f>
        <v>47786512.259999998</v>
      </c>
      <c r="E671" s="85"/>
      <c r="F671" s="381"/>
    </row>
    <row r="672" spans="1:6" ht="18.95" customHeight="1" thickTop="1" x14ac:dyDescent="0.55000000000000004">
      <c r="A672" s="85"/>
      <c r="B672" s="533"/>
      <c r="C672" s="534"/>
      <c r="D672" s="534"/>
      <c r="E672" s="85"/>
      <c r="F672" s="381"/>
    </row>
    <row r="673" spans="1:6" ht="18.95" customHeight="1" x14ac:dyDescent="0.55000000000000004">
      <c r="A673" s="85"/>
      <c r="B673" s="533"/>
      <c r="C673" s="534"/>
      <c r="D673" s="534"/>
      <c r="E673" s="85"/>
      <c r="F673" s="381"/>
    </row>
    <row r="674" spans="1:6" ht="18.95" customHeight="1" x14ac:dyDescent="0.55000000000000004">
      <c r="A674" s="85"/>
      <c r="B674" s="533"/>
      <c r="C674" s="534"/>
      <c r="D674" s="534"/>
      <c r="E674" s="85"/>
      <c r="F674" s="381"/>
    </row>
    <row r="675" spans="1:6" ht="18.95" customHeight="1" x14ac:dyDescent="0.55000000000000004">
      <c r="A675" s="85"/>
      <c r="B675" s="533"/>
      <c r="C675" s="534"/>
      <c r="D675" s="534"/>
      <c r="E675" s="85"/>
      <c r="F675" s="381"/>
    </row>
    <row r="676" spans="1:6" ht="18.95" customHeight="1" x14ac:dyDescent="0.55000000000000004">
      <c r="A676" s="85"/>
      <c r="B676" s="533"/>
      <c r="C676" s="534"/>
      <c r="D676" s="534"/>
      <c r="E676" s="85"/>
      <c r="F676" s="381"/>
    </row>
    <row r="677" spans="1:6" ht="18.95" customHeight="1" x14ac:dyDescent="0.45">
      <c r="A677" s="376" t="s">
        <v>599</v>
      </c>
      <c r="B677" s="376"/>
      <c r="C677" s="376"/>
      <c r="D677" s="376"/>
      <c r="E677" s="376"/>
      <c r="F677" s="376"/>
    </row>
    <row r="678" spans="1:6" ht="14.25" customHeight="1" x14ac:dyDescent="0.45">
      <c r="A678" s="600" t="s">
        <v>601</v>
      </c>
      <c r="B678" s="376"/>
      <c r="C678" s="376"/>
      <c r="D678" s="376"/>
      <c r="E678" s="376"/>
      <c r="F678" s="376"/>
    </row>
    <row r="679" spans="1:6" ht="13.5" customHeight="1" x14ac:dyDescent="0.45">
      <c r="A679" s="376" t="s">
        <v>639</v>
      </c>
      <c r="B679" s="376"/>
      <c r="C679" s="376"/>
      <c r="D679" s="376"/>
    </row>
    <row r="680" spans="1:6" ht="18.95" customHeight="1" x14ac:dyDescent="0.45">
      <c r="A680" s="376" t="s">
        <v>600</v>
      </c>
    </row>
  </sheetData>
  <mergeCells count="84">
    <mergeCell ref="A1:D1"/>
    <mergeCell ref="A2:D2"/>
    <mergeCell ref="A3:D3"/>
    <mergeCell ref="A4:A5"/>
    <mergeCell ref="B4:B5"/>
    <mergeCell ref="C4:C5"/>
    <mergeCell ref="D4:D5"/>
    <mergeCell ref="A53:D53"/>
    <mergeCell ref="A54:D54"/>
    <mergeCell ref="A55:D55"/>
    <mergeCell ref="A56:A57"/>
    <mergeCell ref="B56:B57"/>
    <mergeCell ref="C56:C57"/>
    <mergeCell ref="D56:D57"/>
    <mergeCell ref="A110:D110"/>
    <mergeCell ref="A111:D111"/>
    <mergeCell ref="A112:D112"/>
    <mergeCell ref="A113:A114"/>
    <mergeCell ref="B113:B114"/>
    <mergeCell ref="C113:C114"/>
    <mergeCell ref="D113:D114"/>
    <mergeCell ref="A167:D167"/>
    <mergeCell ref="A168:D168"/>
    <mergeCell ref="A169:D169"/>
    <mergeCell ref="A170:A171"/>
    <mergeCell ref="B170:B171"/>
    <mergeCell ref="C170:C171"/>
    <mergeCell ref="D170:D171"/>
    <mergeCell ref="A221:D221"/>
    <mergeCell ref="A222:D222"/>
    <mergeCell ref="A223:D223"/>
    <mergeCell ref="A224:A225"/>
    <mergeCell ref="B224:B225"/>
    <mergeCell ref="C224:C225"/>
    <mergeCell ref="D224:D225"/>
    <mergeCell ref="A277:D277"/>
    <mergeCell ref="A278:D278"/>
    <mergeCell ref="A279:D279"/>
    <mergeCell ref="A280:A281"/>
    <mergeCell ref="B280:B281"/>
    <mergeCell ref="C280:C281"/>
    <mergeCell ref="D280:D281"/>
    <mergeCell ref="A333:D333"/>
    <mergeCell ref="A334:D334"/>
    <mergeCell ref="A335:D335"/>
    <mergeCell ref="A336:A337"/>
    <mergeCell ref="B336:B337"/>
    <mergeCell ref="C336:C337"/>
    <mergeCell ref="D336:D337"/>
    <mergeCell ref="A389:D389"/>
    <mergeCell ref="A390:D390"/>
    <mergeCell ref="A391:D391"/>
    <mergeCell ref="A392:A393"/>
    <mergeCell ref="B392:B393"/>
    <mergeCell ref="C392:C393"/>
    <mergeCell ref="D392:D393"/>
    <mergeCell ref="A445:D445"/>
    <mergeCell ref="A446:D446"/>
    <mergeCell ref="A447:D447"/>
    <mergeCell ref="A448:A449"/>
    <mergeCell ref="B448:B449"/>
    <mergeCell ref="C448:C449"/>
    <mergeCell ref="D448:D449"/>
    <mergeCell ref="A501:D501"/>
    <mergeCell ref="A502:D502"/>
    <mergeCell ref="A503:D503"/>
    <mergeCell ref="A504:A505"/>
    <mergeCell ref="B504:B505"/>
    <mergeCell ref="C504:C505"/>
    <mergeCell ref="D504:D505"/>
    <mergeCell ref="A557:D557"/>
    <mergeCell ref="A558:D558"/>
    <mergeCell ref="A559:D559"/>
    <mergeCell ref="A560:A561"/>
    <mergeCell ref="B560:B561"/>
    <mergeCell ref="C560:C561"/>
    <mergeCell ref="D560:D561"/>
    <mergeCell ref="A615:D615"/>
    <mergeCell ref="A616:D616"/>
    <mergeCell ref="A617:D617"/>
    <mergeCell ref="A618:A619"/>
    <mergeCell ref="B618:B619"/>
    <mergeCell ref="C618:C619"/>
    <mergeCell ref="D618:D619"/>
  </mergeCells>
  <pageMargins left="0.70866141732283472" right="0.70866141732283472" top="0.27559055118110237" bottom="0.15748031496062992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82"/>
  <sheetViews>
    <sheetView view="pageBreakPreview" topLeftCell="A1853" zoomScale="110" zoomScaleNormal="146" zoomScaleSheetLayoutView="110" workbookViewId="0">
      <selection activeCell="E1869" sqref="E1869"/>
    </sheetView>
  </sheetViews>
  <sheetFormatPr defaultRowHeight="14.25" x14ac:dyDescent="0.2"/>
  <cols>
    <col min="1" max="1" width="6.25" customWidth="1"/>
    <col min="5" max="5" width="6.375" customWidth="1"/>
    <col min="6" max="6" width="10.5" customWidth="1"/>
    <col min="7" max="7" width="8.25" customWidth="1"/>
    <col min="8" max="8" width="13.125" customWidth="1"/>
    <col min="9" max="9" width="12.5" customWidth="1"/>
    <col min="10" max="10" width="12.125" customWidth="1"/>
  </cols>
  <sheetData>
    <row r="1" spans="1:10" s="259" customFormat="1" ht="24" x14ac:dyDescent="0.55000000000000004">
      <c r="A1" s="853" t="s">
        <v>76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0" s="259" customFormat="1" ht="24" x14ac:dyDescent="0.55000000000000004">
      <c r="A2" s="853" t="s">
        <v>334</v>
      </c>
      <c r="B2" s="853"/>
      <c r="C2" s="853"/>
      <c r="D2" s="853"/>
      <c r="E2" s="853"/>
      <c r="F2" s="853"/>
      <c r="G2" s="853"/>
      <c r="H2" s="853"/>
      <c r="I2" s="853"/>
      <c r="J2" s="853"/>
    </row>
    <row r="3" spans="1:10" s="259" customFormat="1" ht="24" x14ac:dyDescent="0.55000000000000004">
      <c r="A3" s="854" t="s">
        <v>504</v>
      </c>
      <c r="B3" s="854"/>
      <c r="C3" s="854"/>
      <c r="D3" s="854"/>
      <c r="E3" s="854"/>
      <c r="F3" s="854"/>
      <c r="G3" s="854"/>
      <c r="H3" s="854"/>
      <c r="I3" s="854"/>
      <c r="J3" s="854"/>
    </row>
    <row r="4" spans="1:10" s="259" customFormat="1" ht="24" x14ac:dyDescent="0.55000000000000004">
      <c r="A4" s="855"/>
      <c r="B4" s="856"/>
      <c r="C4" s="856"/>
      <c r="D4" s="856"/>
      <c r="E4" s="856"/>
      <c r="F4" s="857"/>
      <c r="G4" s="260" t="s">
        <v>78</v>
      </c>
      <c r="H4" s="260" t="s">
        <v>6</v>
      </c>
      <c r="I4" s="261" t="s">
        <v>335</v>
      </c>
      <c r="J4" s="262" t="s">
        <v>336</v>
      </c>
    </row>
    <row r="5" spans="1:10" s="259" customFormat="1" ht="24" x14ac:dyDescent="0.55000000000000004">
      <c r="A5" s="263" t="s">
        <v>337</v>
      </c>
      <c r="B5" s="264"/>
      <c r="C5" s="265"/>
      <c r="D5" s="265"/>
      <c r="E5" s="265"/>
      <c r="F5" s="266"/>
      <c r="G5" s="267"/>
      <c r="H5" s="268"/>
      <c r="I5" s="269"/>
      <c r="J5" s="268"/>
    </row>
    <row r="6" spans="1:10" s="259" customFormat="1" ht="24" x14ac:dyDescent="0.55000000000000004">
      <c r="A6" s="263" t="s">
        <v>338</v>
      </c>
      <c r="B6" s="264"/>
      <c r="C6" s="265"/>
      <c r="D6" s="265"/>
      <c r="E6" s="265"/>
      <c r="F6" s="266"/>
      <c r="G6" s="267"/>
      <c r="H6" s="268"/>
      <c r="I6" s="269"/>
      <c r="J6" s="268"/>
    </row>
    <row r="7" spans="1:10" s="259" customFormat="1" ht="24" x14ac:dyDescent="0.55000000000000004">
      <c r="A7" s="270" t="s">
        <v>339</v>
      </c>
      <c r="B7" s="271" t="s">
        <v>340</v>
      </c>
      <c r="C7" s="271"/>
      <c r="D7" s="271"/>
      <c r="E7" s="271"/>
      <c r="F7" s="272"/>
      <c r="G7" s="273">
        <v>411001</v>
      </c>
      <c r="H7" s="274">
        <v>3900000</v>
      </c>
      <c r="I7" s="275">
        <v>0</v>
      </c>
      <c r="J7" s="274">
        <v>0</v>
      </c>
    </row>
    <row r="8" spans="1:10" s="259" customFormat="1" ht="24" x14ac:dyDescent="0.55000000000000004">
      <c r="A8" s="270" t="s">
        <v>341</v>
      </c>
      <c r="B8" s="271" t="s">
        <v>342</v>
      </c>
      <c r="C8" s="271"/>
      <c r="D8" s="271"/>
      <c r="E8" s="271"/>
      <c r="F8" s="272"/>
      <c r="G8" s="273">
        <v>411002</v>
      </c>
      <c r="H8" s="274">
        <v>50000</v>
      </c>
      <c r="I8" s="275"/>
      <c r="J8" s="274"/>
    </row>
    <row r="9" spans="1:10" s="259" customFormat="1" ht="24" x14ac:dyDescent="0.55000000000000004">
      <c r="A9" s="270" t="s">
        <v>343</v>
      </c>
      <c r="B9" s="271" t="s">
        <v>344</v>
      </c>
      <c r="C9" s="271"/>
      <c r="D9" s="271"/>
      <c r="E9" s="271"/>
      <c r="F9" s="272"/>
      <c r="G9" s="273">
        <v>411003</v>
      </c>
      <c r="H9" s="274">
        <v>20000</v>
      </c>
      <c r="I9" s="275"/>
      <c r="J9" s="274"/>
    </row>
    <row r="10" spans="1:10" s="259" customFormat="1" ht="24" x14ac:dyDescent="0.55000000000000004">
      <c r="A10" s="270" t="s">
        <v>345</v>
      </c>
      <c r="B10" s="271" t="s">
        <v>346</v>
      </c>
      <c r="C10" s="271"/>
      <c r="D10" s="271"/>
      <c r="E10" s="271"/>
      <c r="F10" s="272"/>
      <c r="G10" s="273">
        <v>411004</v>
      </c>
      <c r="H10" s="274">
        <v>0</v>
      </c>
      <c r="I10" s="275"/>
      <c r="J10" s="274"/>
    </row>
    <row r="11" spans="1:10" s="259" customFormat="1" ht="24" x14ac:dyDescent="0.55000000000000004">
      <c r="A11" s="270" t="s">
        <v>347</v>
      </c>
      <c r="B11" s="271" t="s">
        <v>348</v>
      </c>
      <c r="C11" s="271"/>
      <c r="D11" s="271"/>
      <c r="E11" s="271"/>
      <c r="F11" s="272"/>
      <c r="G11" s="273">
        <v>411005</v>
      </c>
      <c r="H11" s="276">
        <v>100000</v>
      </c>
      <c r="I11" s="277"/>
      <c r="J11" s="276"/>
    </row>
    <row r="12" spans="1:10" s="259" customFormat="1" ht="24" x14ac:dyDescent="0.55000000000000004">
      <c r="A12" s="270"/>
      <c r="B12" s="271"/>
      <c r="C12" s="271"/>
      <c r="D12" s="271"/>
      <c r="E12" s="271"/>
      <c r="F12" s="272"/>
      <c r="G12" s="273"/>
      <c r="H12" s="299">
        <f>SUM(H7:H11)</f>
        <v>4070000</v>
      </c>
      <c r="I12" s="300">
        <f>SUM(I7:I11)</f>
        <v>0</v>
      </c>
      <c r="J12" s="299">
        <f>SUM(J7:J11)</f>
        <v>0</v>
      </c>
    </row>
    <row r="13" spans="1:10" s="259" customFormat="1" ht="24" x14ac:dyDescent="0.55000000000000004">
      <c r="A13" s="263" t="s">
        <v>349</v>
      </c>
      <c r="B13" s="278"/>
      <c r="C13" s="278"/>
      <c r="D13" s="278"/>
      <c r="E13" s="279"/>
      <c r="F13" s="280"/>
      <c r="G13" s="281"/>
      <c r="H13" s="282"/>
      <c r="I13" s="283"/>
      <c r="J13" s="268"/>
    </row>
    <row r="14" spans="1:10" s="259" customFormat="1" ht="24" x14ac:dyDescent="0.55000000000000004">
      <c r="A14" s="270" t="s">
        <v>339</v>
      </c>
      <c r="B14" s="271" t="s">
        <v>350</v>
      </c>
      <c r="C14" s="284"/>
      <c r="D14" s="284"/>
      <c r="E14" s="284"/>
      <c r="F14" s="285"/>
      <c r="G14" s="286">
        <v>412103</v>
      </c>
      <c r="H14" s="287">
        <v>500</v>
      </c>
      <c r="I14" s="288"/>
      <c r="J14" s="274"/>
    </row>
    <row r="15" spans="1:10" s="259" customFormat="1" ht="24" x14ac:dyDescent="0.55000000000000004">
      <c r="A15" s="270" t="s">
        <v>341</v>
      </c>
      <c r="B15" s="271" t="s">
        <v>351</v>
      </c>
      <c r="C15" s="284"/>
      <c r="D15" s="284"/>
      <c r="E15" s="284"/>
      <c r="F15" s="285"/>
      <c r="G15" s="286">
        <v>412104</v>
      </c>
      <c r="H15" s="287">
        <v>500</v>
      </c>
      <c r="I15" s="288"/>
      <c r="J15" s="274"/>
    </row>
    <row r="16" spans="1:10" s="259" customFormat="1" ht="24" x14ac:dyDescent="0.55000000000000004">
      <c r="A16" s="270" t="s">
        <v>343</v>
      </c>
      <c r="B16" s="271" t="s">
        <v>352</v>
      </c>
      <c r="C16" s="284"/>
      <c r="D16" s="284"/>
      <c r="E16" s="284"/>
      <c r="F16" s="285"/>
      <c r="G16" s="286">
        <v>4120106</v>
      </c>
      <c r="H16" s="287">
        <v>20000</v>
      </c>
      <c r="I16" s="288">
        <v>292</v>
      </c>
      <c r="J16" s="274">
        <v>292</v>
      </c>
    </row>
    <row r="17" spans="1:11" s="259" customFormat="1" ht="24" x14ac:dyDescent="0.55000000000000004">
      <c r="A17" s="270" t="s">
        <v>345</v>
      </c>
      <c r="B17" s="271" t="s">
        <v>456</v>
      </c>
      <c r="C17" s="284"/>
      <c r="D17" s="284"/>
      <c r="E17" s="284"/>
      <c r="F17" s="285"/>
      <c r="G17" s="286"/>
      <c r="H17" s="287">
        <v>500</v>
      </c>
      <c r="I17" s="288"/>
      <c r="J17" s="274"/>
    </row>
    <row r="18" spans="1:11" s="259" customFormat="1" ht="24" x14ac:dyDescent="0.55000000000000004">
      <c r="A18" s="270" t="s">
        <v>347</v>
      </c>
      <c r="B18" s="271" t="s">
        <v>457</v>
      </c>
      <c r="C18" s="284"/>
      <c r="D18" s="284"/>
      <c r="E18" s="284"/>
      <c r="F18" s="285"/>
      <c r="G18" s="286"/>
      <c r="H18" s="287">
        <v>500</v>
      </c>
      <c r="I18" s="288"/>
      <c r="J18" s="274"/>
    </row>
    <row r="19" spans="1:11" s="259" customFormat="1" ht="24" x14ac:dyDescent="0.55000000000000004">
      <c r="A19" s="270"/>
      <c r="B19" s="271" t="s">
        <v>458</v>
      </c>
      <c r="C19" s="284"/>
      <c r="D19" s="284"/>
      <c r="E19" s="284"/>
      <c r="F19" s="285"/>
      <c r="G19" s="286"/>
      <c r="H19" s="287"/>
      <c r="I19" s="288"/>
      <c r="J19" s="274"/>
    </row>
    <row r="20" spans="1:11" s="259" customFormat="1" ht="24" x14ac:dyDescent="0.55000000000000004">
      <c r="A20" s="270" t="s">
        <v>355</v>
      </c>
      <c r="B20" s="271" t="s">
        <v>459</v>
      </c>
      <c r="C20" s="284"/>
      <c r="D20" s="284"/>
      <c r="E20" s="284"/>
      <c r="F20" s="285"/>
      <c r="G20" s="286"/>
      <c r="H20" s="287">
        <v>500</v>
      </c>
      <c r="I20" s="288"/>
      <c r="J20" s="274"/>
    </row>
    <row r="21" spans="1:11" s="259" customFormat="1" ht="24" x14ac:dyDescent="0.55000000000000004">
      <c r="A21" s="270"/>
      <c r="B21" s="271" t="s">
        <v>460</v>
      </c>
      <c r="C21" s="284"/>
      <c r="D21" s="284"/>
      <c r="E21" s="284"/>
      <c r="F21" s="285"/>
      <c r="G21" s="286"/>
      <c r="H21" s="287"/>
      <c r="I21" s="288"/>
      <c r="J21" s="274"/>
    </row>
    <row r="22" spans="1:11" s="289" customFormat="1" ht="24" x14ac:dyDescent="0.55000000000000004">
      <c r="A22" s="290" t="s">
        <v>357</v>
      </c>
      <c r="B22" s="271" t="s">
        <v>353</v>
      </c>
      <c r="C22" s="271"/>
      <c r="D22" s="271"/>
      <c r="E22" s="271"/>
      <c r="F22" s="272"/>
      <c r="G22" s="286">
        <v>412128</v>
      </c>
      <c r="H22" s="274">
        <v>1000</v>
      </c>
      <c r="I22" s="275">
        <v>50</v>
      </c>
      <c r="J22" s="274">
        <v>50</v>
      </c>
    </row>
    <row r="23" spans="1:11" s="289" customFormat="1" ht="24" x14ac:dyDescent="0.55000000000000004">
      <c r="A23" s="290" t="s">
        <v>359</v>
      </c>
      <c r="B23" s="271" t="s">
        <v>461</v>
      </c>
      <c r="C23" s="271"/>
      <c r="D23" s="271"/>
      <c r="E23" s="271"/>
      <c r="F23" s="272"/>
      <c r="G23" s="286"/>
      <c r="H23" s="274">
        <v>500</v>
      </c>
      <c r="I23" s="275"/>
      <c r="J23" s="274"/>
      <c r="K23" s="289">
        <v>1</v>
      </c>
    </row>
    <row r="24" spans="1:11" s="289" customFormat="1" ht="24" x14ac:dyDescent="0.55000000000000004">
      <c r="A24" s="270" t="s">
        <v>361</v>
      </c>
      <c r="B24" s="271" t="s">
        <v>354</v>
      </c>
      <c r="C24" s="271"/>
      <c r="D24" s="271"/>
      <c r="E24" s="271"/>
      <c r="F24" s="272"/>
      <c r="G24" s="286">
        <v>412199</v>
      </c>
      <c r="H24" s="274">
        <v>1500</v>
      </c>
      <c r="I24" s="275"/>
      <c r="J24" s="274"/>
    </row>
    <row r="25" spans="1:11" s="289" customFormat="1" ht="24" x14ac:dyDescent="0.55000000000000004">
      <c r="A25" s="270" t="s">
        <v>363</v>
      </c>
      <c r="B25" s="271" t="s">
        <v>356</v>
      </c>
      <c r="C25" s="271"/>
      <c r="D25" s="271"/>
      <c r="E25" s="271"/>
      <c r="F25" s="272"/>
      <c r="G25" s="286"/>
      <c r="H25" s="274">
        <v>1500</v>
      </c>
      <c r="I25" s="275">
        <v>200</v>
      </c>
      <c r="J25" s="274">
        <v>200</v>
      </c>
    </row>
    <row r="26" spans="1:11" s="289" customFormat="1" ht="24" x14ac:dyDescent="0.55000000000000004">
      <c r="A26" s="270" t="s">
        <v>365</v>
      </c>
      <c r="B26" s="271" t="s">
        <v>358</v>
      </c>
      <c r="C26" s="271"/>
      <c r="D26" s="271"/>
      <c r="E26" s="271"/>
      <c r="F26" s="272"/>
      <c r="G26" s="286"/>
      <c r="H26" s="274">
        <v>50000</v>
      </c>
      <c r="I26" s="275"/>
      <c r="J26" s="274"/>
    </row>
    <row r="27" spans="1:11" s="289" customFormat="1" ht="24" x14ac:dyDescent="0.55000000000000004">
      <c r="A27" s="270" t="s">
        <v>367</v>
      </c>
      <c r="B27" s="271" t="s">
        <v>360</v>
      </c>
      <c r="C27" s="271"/>
      <c r="D27" s="271"/>
      <c r="E27" s="271"/>
      <c r="F27" s="272"/>
      <c r="G27" s="286">
        <v>412211</v>
      </c>
      <c r="H27" s="274">
        <v>500</v>
      </c>
      <c r="I27" s="275"/>
      <c r="J27" s="274"/>
    </row>
    <row r="28" spans="1:11" s="291" customFormat="1" ht="24" x14ac:dyDescent="0.55000000000000004">
      <c r="A28" s="270" t="s">
        <v>369</v>
      </c>
      <c r="B28" s="291" t="s">
        <v>362</v>
      </c>
      <c r="F28" s="292"/>
      <c r="G28" s="293">
        <v>412299</v>
      </c>
      <c r="H28" s="294">
        <v>500</v>
      </c>
      <c r="I28" s="295"/>
      <c r="J28" s="294"/>
    </row>
    <row r="29" spans="1:11" s="265" customFormat="1" ht="24" x14ac:dyDescent="0.55000000000000004">
      <c r="A29" s="270" t="s">
        <v>371</v>
      </c>
      <c r="B29" s="291" t="s">
        <v>462</v>
      </c>
      <c r="C29" s="291"/>
      <c r="D29" s="291"/>
      <c r="E29" s="291"/>
      <c r="F29" s="292"/>
      <c r="G29" s="293"/>
      <c r="H29" s="294">
        <v>500</v>
      </c>
      <c r="I29" s="295"/>
      <c r="J29" s="268"/>
    </row>
    <row r="30" spans="1:11" s="289" customFormat="1" ht="24" x14ac:dyDescent="0.55000000000000004">
      <c r="A30" s="270" t="s">
        <v>373</v>
      </c>
      <c r="B30" s="291" t="s">
        <v>364</v>
      </c>
      <c r="C30" s="291"/>
      <c r="D30" s="291"/>
      <c r="E30" s="291"/>
      <c r="F30" s="292"/>
      <c r="G30" s="296">
        <v>412303</v>
      </c>
      <c r="H30" s="294">
        <v>500</v>
      </c>
      <c r="I30" s="295"/>
      <c r="J30" s="268"/>
    </row>
    <row r="31" spans="1:11" s="289" customFormat="1" ht="24" x14ac:dyDescent="0.55000000000000004">
      <c r="A31" s="270" t="s">
        <v>463</v>
      </c>
      <c r="B31" s="271" t="s">
        <v>366</v>
      </c>
      <c r="C31" s="271"/>
      <c r="D31" s="271"/>
      <c r="E31" s="271"/>
      <c r="F31" s="272"/>
      <c r="G31" s="273">
        <v>412304</v>
      </c>
      <c r="H31" s="274">
        <v>500</v>
      </c>
      <c r="I31" s="275"/>
      <c r="J31" s="274"/>
    </row>
    <row r="32" spans="1:11" s="289" customFormat="1" ht="24" x14ac:dyDescent="0.55000000000000004">
      <c r="A32" s="270" t="s">
        <v>464</v>
      </c>
      <c r="B32" s="271" t="s">
        <v>368</v>
      </c>
      <c r="C32" s="271"/>
      <c r="D32" s="271"/>
      <c r="E32" s="271"/>
      <c r="F32" s="272"/>
      <c r="G32" s="273">
        <v>412305</v>
      </c>
      <c r="H32" s="274">
        <v>500</v>
      </c>
      <c r="I32" s="275"/>
      <c r="J32" s="274"/>
    </row>
    <row r="33" spans="1:10" s="289" customFormat="1" ht="24" x14ac:dyDescent="0.55000000000000004">
      <c r="A33" s="270" t="s">
        <v>465</v>
      </c>
      <c r="B33" s="271" t="s">
        <v>370</v>
      </c>
      <c r="C33" s="271"/>
      <c r="D33" s="271"/>
      <c r="E33" s="271"/>
      <c r="F33" s="272"/>
      <c r="G33" s="273">
        <v>412306</v>
      </c>
      <c r="H33" s="276">
        <v>500</v>
      </c>
      <c r="I33" s="277"/>
      <c r="J33" s="274"/>
    </row>
    <row r="34" spans="1:10" s="289" customFormat="1" ht="24" x14ac:dyDescent="0.55000000000000004">
      <c r="A34" s="270" t="s">
        <v>466</v>
      </c>
      <c r="B34" s="271" t="s">
        <v>372</v>
      </c>
      <c r="C34" s="271"/>
      <c r="D34" s="271"/>
      <c r="E34" s="271"/>
      <c r="F34" s="272"/>
      <c r="G34" s="273">
        <v>412307</v>
      </c>
      <c r="H34" s="276">
        <v>2000</v>
      </c>
      <c r="I34" s="277">
        <v>20</v>
      </c>
      <c r="J34" s="274">
        <v>20</v>
      </c>
    </row>
    <row r="35" spans="1:10" s="289" customFormat="1" ht="24" x14ac:dyDescent="0.55000000000000004">
      <c r="A35" s="270" t="s">
        <v>467</v>
      </c>
      <c r="B35" s="271" t="s">
        <v>374</v>
      </c>
      <c r="C35" s="271"/>
      <c r="D35" s="271"/>
      <c r="E35" s="271"/>
      <c r="F35" s="272"/>
      <c r="G35" s="273">
        <v>412399</v>
      </c>
      <c r="H35" s="276">
        <v>500</v>
      </c>
      <c r="I35" s="277"/>
      <c r="J35" s="268"/>
    </row>
    <row r="36" spans="1:10" s="289" customFormat="1" ht="24" x14ac:dyDescent="0.55000000000000004">
      <c r="A36" s="305"/>
      <c r="B36" s="306"/>
      <c r="C36" s="306"/>
      <c r="D36" s="306"/>
      <c r="E36" s="847"/>
      <c r="F36" s="848"/>
      <c r="G36" s="396"/>
      <c r="H36" s="299">
        <f>SUM(H14:H35)</f>
        <v>83000</v>
      </c>
      <c r="I36" s="300">
        <f>SUM(I16:I35)</f>
        <v>562</v>
      </c>
      <c r="J36" s="299">
        <f>SUM(J16:J35)</f>
        <v>562</v>
      </c>
    </row>
    <row r="41" spans="1:10" s="289" customFormat="1" ht="24" x14ac:dyDescent="0.55000000000000004">
      <c r="A41" s="858" t="s">
        <v>455</v>
      </c>
      <c r="B41" s="858"/>
      <c r="C41" s="858"/>
      <c r="D41" s="858"/>
      <c r="E41" s="858"/>
      <c r="F41" s="858"/>
      <c r="G41" s="858"/>
      <c r="H41" s="858"/>
      <c r="I41" s="858"/>
      <c r="J41" s="858"/>
    </row>
    <row r="42" spans="1:10" s="289" customFormat="1" ht="24" x14ac:dyDescent="0.55000000000000004">
      <c r="A42" s="395"/>
      <c r="B42" s="395"/>
      <c r="C42" s="395"/>
      <c r="D42" s="395"/>
      <c r="E42" s="395"/>
      <c r="F42" s="395"/>
      <c r="G42" s="395"/>
      <c r="H42" s="395"/>
      <c r="I42" s="395"/>
      <c r="J42" s="395"/>
    </row>
    <row r="43" spans="1:10" s="259" customFormat="1" ht="24" x14ac:dyDescent="0.55000000000000004">
      <c r="A43" s="855"/>
      <c r="B43" s="856"/>
      <c r="C43" s="856"/>
      <c r="D43" s="856"/>
      <c r="E43" s="856"/>
      <c r="F43" s="857"/>
      <c r="G43" s="260" t="s">
        <v>78</v>
      </c>
      <c r="H43" s="260" t="s">
        <v>6</v>
      </c>
      <c r="I43" s="261" t="s">
        <v>335</v>
      </c>
      <c r="J43" s="262" t="s">
        <v>336</v>
      </c>
    </row>
    <row r="44" spans="1:10" s="289" customFormat="1" ht="24" x14ac:dyDescent="0.55000000000000004">
      <c r="A44" s="301" t="s">
        <v>375</v>
      </c>
      <c r="B44" s="302"/>
      <c r="C44" s="302"/>
      <c r="D44" s="271"/>
      <c r="E44" s="271"/>
      <c r="F44" s="272"/>
      <c r="G44" s="298"/>
      <c r="H44" s="268"/>
      <c r="I44" s="269"/>
      <c r="J44" s="268"/>
    </row>
    <row r="45" spans="1:10" s="289" customFormat="1" ht="24" x14ac:dyDescent="0.55000000000000004">
      <c r="A45" s="270" t="s">
        <v>339</v>
      </c>
      <c r="B45" s="271" t="s">
        <v>376</v>
      </c>
      <c r="C45" s="271"/>
      <c r="D45" s="271"/>
      <c r="E45" s="271"/>
      <c r="F45" s="272"/>
      <c r="G45" s="273">
        <v>413003</v>
      </c>
      <c r="H45" s="276">
        <v>100000</v>
      </c>
      <c r="I45" s="277">
        <v>0</v>
      </c>
      <c r="J45" s="274">
        <v>0</v>
      </c>
    </row>
    <row r="46" spans="1:10" s="259" customFormat="1" ht="24" x14ac:dyDescent="0.55000000000000004">
      <c r="A46" s="270" t="s">
        <v>341</v>
      </c>
      <c r="B46" s="271" t="s">
        <v>377</v>
      </c>
      <c r="C46" s="271"/>
      <c r="D46" s="271"/>
      <c r="E46" s="271"/>
      <c r="F46" s="272"/>
      <c r="G46" s="273">
        <v>413999</v>
      </c>
      <c r="H46" s="276">
        <v>10000</v>
      </c>
      <c r="I46" s="277">
        <v>0</v>
      </c>
      <c r="J46" s="268">
        <v>0</v>
      </c>
    </row>
    <row r="47" spans="1:10" s="259" customFormat="1" ht="24" x14ac:dyDescent="0.55000000000000004">
      <c r="A47" s="270"/>
      <c r="B47" s="271"/>
      <c r="C47" s="271"/>
      <c r="D47" s="271"/>
      <c r="E47" s="271"/>
      <c r="F47" s="272"/>
      <c r="G47" s="273"/>
      <c r="H47" s="299">
        <f>SUM(H45:H46)</f>
        <v>110000</v>
      </c>
      <c r="I47" s="300">
        <f>SUM(I45:I46)</f>
        <v>0</v>
      </c>
      <c r="J47" s="299">
        <f>SUM(J45:J46)</f>
        <v>0</v>
      </c>
    </row>
    <row r="48" spans="1:10" s="289" customFormat="1" ht="24" x14ac:dyDescent="0.55000000000000004">
      <c r="A48" s="301" t="s">
        <v>378</v>
      </c>
      <c r="B48" s="302"/>
      <c r="C48" s="302"/>
      <c r="D48" s="302"/>
      <c r="E48" s="302"/>
      <c r="F48" s="272"/>
      <c r="G48" s="298"/>
      <c r="H48" s="268"/>
      <c r="I48" s="269"/>
      <c r="J48" s="268"/>
    </row>
    <row r="49" spans="1:11" s="289" customFormat="1" ht="24" x14ac:dyDescent="0.55000000000000004">
      <c r="A49" s="270" t="s">
        <v>339</v>
      </c>
      <c r="B49" s="271" t="s">
        <v>21</v>
      </c>
      <c r="C49" s="271"/>
      <c r="D49" s="271"/>
      <c r="E49" s="271"/>
      <c r="F49" s="272"/>
      <c r="G49" s="273">
        <v>414006</v>
      </c>
      <c r="H49" s="274">
        <v>1000000</v>
      </c>
      <c r="I49" s="275">
        <v>41213</v>
      </c>
      <c r="J49" s="274">
        <v>41213</v>
      </c>
    </row>
    <row r="50" spans="1:11" s="289" customFormat="1" ht="24" x14ac:dyDescent="0.55000000000000004">
      <c r="A50" s="270" t="s">
        <v>341</v>
      </c>
      <c r="B50" s="271" t="s">
        <v>379</v>
      </c>
      <c r="C50" s="271"/>
      <c r="D50" s="271"/>
      <c r="E50" s="271"/>
      <c r="F50" s="272"/>
      <c r="G50" s="273">
        <v>414999</v>
      </c>
      <c r="H50" s="268">
        <v>5000</v>
      </c>
      <c r="I50" s="269">
        <v>200</v>
      </c>
      <c r="J50" s="303">
        <v>200</v>
      </c>
    </row>
    <row r="51" spans="1:11" s="289" customFormat="1" ht="24" x14ac:dyDescent="0.55000000000000004">
      <c r="A51" s="391"/>
      <c r="B51" s="392"/>
      <c r="C51" s="392"/>
      <c r="D51" s="392"/>
      <c r="E51" s="859" t="s">
        <v>151</v>
      </c>
      <c r="F51" s="860"/>
      <c r="G51" s="393"/>
      <c r="H51" s="299">
        <f>SUM(H49:H50)</f>
        <v>1005000</v>
      </c>
      <c r="I51" s="300">
        <f>SUM(I49:I50)</f>
        <v>41413</v>
      </c>
      <c r="J51" s="299">
        <f>SUM(J49:J50)</f>
        <v>41413</v>
      </c>
    </row>
    <row r="52" spans="1:11" s="289" customFormat="1" ht="24" x14ac:dyDescent="0.55000000000000004">
      <c r="A52" s="301" t="s">
        <v>380</v>
      </c>
      <c r="B52" s="302"/>
      <c r="C52" s="302"/>
      <c r="D52" s="271"/>
      <c r="E52" s="271"/>
      <c r="F52" s="272"/>
      <c r="G52" s="298"/>
      <c r="H52" s="268"/>
      <c r="I52" s="269"/>
      <c r="J52" s="268"/>
    </row>
    <row r="53" spans="1:11" s="289" customFormat="1" ht="24" x14ac:dyDescent="0.55000000000000004">
      <c r="A53" s="270" t="s">
        <v>339</v>
      </c>
      <c r="B53" s="271" t="s">
        <v>381</v>
      </c>
      <c r="C53" s="271"/>
      <c r="D53" s="271"/>
      <c r="E53" s="271"/>
      <c r="F53" s="272"/>
      <c r="G53" s="273">
        <v>415004</v>
      </c>
      <c r="H53" s="274">
        <v>80000</v>
      </c>
      <c r="I53" s="277">
        <v>0</v>
      </c>
      <c r="J53" s="274">
        <v>0</v>
      </c>
      <c r="K53" s="289">
        <v>2</v>
      </c>
    </row>
    <row r="54" spans="1:11" s="289" customFormat="1" ht="24" x14ac:dyDescent="0.55000000000000004">
      <c r="A54" s="270" t="s">
        <v>341</v>
      </c>
      <c r="B54" s="271" t="s">
        <v>382</v>
      </c>
      <c r="C54" s="271"/>
      <c r="D54" s="271"/>
      <c r="E54" s="271"/>
      <c r="F54" s="272"/>
      <c r="G54" s="273">
        <v>415999</v>
      </c>
      <c r="H54" s="276">
        <v>10000</v>
      </c>
      <c r="I54" s="277">
        <v>0</v>
      </c>
      <c r="J54" s="268">
        <v>0</v>
      </c>
    </row>
    <row r="55" spans="1:11" s="289" customFormat="1" ht="24" x14ac:dyDescent="0.55000000000000004">
      <c r="A55" s="270"/>
      <c r="B55" s="271"/>
      <c r="C55" s="271"/>
      <c r="D55" s="271"/>
      <c r="E55" s="271"/>
      <c r="F55" s="272"/>
      <c r="G55" s="273"/>
      <c r="H55" s="299">
        <f>SUM(H53:H54)</f>
        <v>90000</v>
      </c>
      <c r="I55" s="300">
        <f>SUM(I53:I54)</f>
        <v>0</v>
      </c>
      <c r="J55" s="299">
        <f>SUM(J53:J54)</f>
        <v>0</v>
      </c>
    </row>
    <row r="56" spans="1:11" s="289" customFormat="1" ht="24" x14ac:dyDescent="0.55000000000000004">
      <c r="A56" s="301" t="s">
        <v>383</v>
      </c>
      <c r="B56" s="302"/>
      <c r="C56" s="302"/>
      <c r="D56" s="271"/>
      <c r="E56" s="271"/>
      <c r="F56" s="272"/>
      <c r="G56" s="298"/>
      <c r="H56" s="268"/>
      <c r="I56" s="269"/>
      <c r="J56" s="268"/>
    </row>
    <row r="57" spans="1:11" s="289" customFormat="1" ht="24" x14ac:dyDescent="0.55000000000000004">
      <c r="A57" s="270" t="s">
        <v>339</v>
      </c>
      <c r="B57" s="271" t="s">
        <v>384</v>
      </c>
      <c r="C57" s="271"/>
      <c r="D57" s="271"/>
      <c r="E57" s="271"/>
      <c r="F57" s="272"/>
      <c r="G57" s="273">
        <v>416001</v>
      </c>
      <c r="H57" s="274">
        <v>2000</v>
      </c>
      <c r="I57" s="277">
        <v>0</v>
      </c>
      <c r="J57" s="274">
        <v>0</v>
      </c>
    </row>
    <row r="58" spans="1:11" s="289" customFormat="1" ht="24" x14ac:dyDescent="0.55000000000000004">
      <c r="A58" s="270" t="s">
        <v>341</v>
      </c>
      <c r="B58" s="271" t="s">
        <v>385</v>
      </c>
      <c r="C58" s="271"/>
      <c r="D58" s="271"/>
      <c r="E58" s="271"/>
      <c r="F58" s="272"/>
      <c r="G58" s="273">
        <v>416999</v>
      </c>
      <c r="H58" s="276">
        <v>0</v>
      </c>
      <c r="I58" s="277">
        <v>0</v>
      </c>
      <c r="J58" s="268">
        <v>0</v>
      </c>
    </row>
    <row r="59" spans="1:11" s="289" customFormat="1" ht="24" x14ac:dyDescent="0.55000000000000004">
      <c r="A59" s="270"/>
      <c r="B59" s="271"/>
      <c r="C59" s="271"/>
      <c r="D59" s="271"/>
      <c r="E59" s="271"/>
      <c r="F59" s="272"/>
      <c r="G59" s="273"/>
      <c r="H59" s="299">
        <f>SUM(H57:H58)</f>
        <v>2000</v>
      </c>
      <c r="I59" s="300">
        <f>SUM(I57:I58)</f>
        <v>0</v>
      </c>
      <c r="J59" s="299">
        <f>SUM(J57:J58)</f>
        <v>0</v>
      </c>
    </row>
    <row r="60" spans="1:11" s="289" customFormat="1" ht="24" x14ac:dyDescent="0.55000000000000004">
      <c r="A60" s="304" t="s">
        <v>386</v>
      </c>
      <c r="B60" s="271"/>
      <c r="C60" s="271"/>
      <c r="D60" s="271"/>
      <c r="E60" s="271"/>
      <c r="F60" s="272"/>
      <c r="G60" s="273"/>
      <c r="H60" s="268"/>
      <c r="I60" s="269"/>
      <c r="J60" s="268"/>
    </row>
    <row r="61" spans="1:11" s="259" customFormat="1" ht="24" x14ac:dyDescent="0.55000000000000004">
      <c r="A61" s="270" t="s">
        <v>339</v>
      </c>
      <c r="B61" s="271" t="s">
        <v>387</v>
      </c>
      <c r="C61" s="271"/>
      <c r="D61" s="271"/>
      <c r="E61" s="271"/>
      <c r="F61" s="272"/>
      <c r="G61" s="273">
        <v>421002</v>
      </c>
      <c r="H61" s="274">
        <v>7000000</v>
      </c>
      <c r="I61" s="274">
        <v>576013.89</v>
      </c>
      <c r="J61" s="274">
        <v>576013.89</v>
      </c>
    </row>
    <row r="62" spans="1:11" s="259" customFormat="1" ht="24" x14ac:dyDescent="0.55000000000000004">
      <c r="A62" s="270" t="s">
        <v>341</v>
      </c>
      <c r="B62" s="271" t="s">
        <v>388</v>
      </c>
      <c r="C62" s="271"/>
      <c r="D62" s="271"/>
      <c r="E62" s="271"/>
      <c r="F62" s="272"/>
      <c r="G62" s="273">
        <v>421004</v>
      </c>
      <c r="H62" s="274">
        <v>1500000</v>
      </c>
      <c r="I62" s="274">
        <v>113953.78</v>
      </c>
      <c r="J62" s="274">
        <v>113953.78</v>
      </c>
    </row>
    <row r="63" spans="1:11" s="259" customFormat="1" ht="24" x14ac:dyDescent="0.55000000000000004">
      <c r="A63" s="270" t="s">
        <v>343</v>
      </c>
      <c r="B63" s="271" t="s">
        <v>389</v>
      </c>
      <c r="C63" s="271"/>
      <c r="D63" s="271"/>
      <c r="E63" s="271"/>
      <c r="F63" s="272"/>
      <c r="G63" s="273">
        <v>421005</v>
      </c>
      <c r="H63" s="274">
        <v>100000</v>
      </c>
      <c r="I63" s="274"/>
      <c r="J63" s="274"/>
    </row>
    <row r="64" spans="1:11" s="259" customFormat="1" ht="24" x14ac:dyDescent="0.55000000000000004">
      <c r="A64" s="270" t="s">
        <v>345</v>
      </c>
      <c r="B64" s="271" t="s">
        <v>390</v>
      </c>
      <c r="C64" s="271"/>
      <c r="D64" s="271"/>
      <c r="E64" s="271"/>
      <c r="F64" s="272"/>
      <c r="G64" s="273">
        <v>421006</v>
      </c>
      <c r="H64" s="274">
        <v>700000</v>
      </c>
      <c r="I64" s="274">
        <v>47274.97</v>
      </c>
      <c r="J64" s="274">
        <v>47274.97</v>
      </c>
    </row>
    <row r="65" spans="1:10" s="259" customFormat="1" ht="24" x14ac:dyDescent="0.55000000000000004">
      <c r="A65" s="270" t="s">
        <v>347</v>
      </c>
      <c r="B65" s="271" t="s">
        <v>391</v>
      </c>
      <c r="C65" s="271"/>
      <c r="D65" s="271"/>
      <c r="E65" s="271"/>
      <c r="F65" s="272"/>
      <c r="G65" s="273">
        <v>421007</v>
      </c>
      <c r="H65" s="274">
        <v>1000000</v>
      </c>
      <c r="I65" s="275">
        <v>102069.72</v>
      </c>
      <c r="J65" s="274">
        <v>102069.72</v>
      </c>
    </row>
    <row r="66" spans="1:10" s="259" customFormat="1" ht="24" x14ac:dyDescent="0.55000000000000004">
      <c r="A66" s="270" t="s">
        <v>355</v>
      </c>
      <c r="B66" s="271" t="s">
        <v>468</v>
      </c>
      <c r="C66" s="271"/>
      <c r="D66" s="271"/>
      <c r="E66" s="271"/>
      <c r="F66" s="272"/>
      <c r="G66" s="273">
        <v>421011</v>
      </c>
      <c r="H66" s="274">
        <v>10000</v>
      </c>
      <c r="I66" s="275"/>
      <c r="J66" s="274"/>
    </row>
    <row r="67" spans="1:10" s="259" customFormat="1" ht="24" x14ac:dyDescent="0.55000000000000004">
      <c r="A67" s="290" t="s">
        <v>357</v>
      </c>
      <c r="B67" s="259" t="s">
        <v>392</v>
      </c>
      <c r="G67" s="273">
        <v>421012</v>
      </c>
      <c r="H67" s="274">
        <v>30000</v>
      </c>
      <c r="I67" s="275"/>
      <c r="J67" s="274"/>
    </row>
    <row r="68" spans="1:10" s="259" customFormat="1" ht="24" x14ac:dyDescent="0.55000000000000004">
      <c r="A68" s="290" t="s">
        <v>359</v>
      </c>
      <c r="B68" s="271" t="s">
        <v>393</v>
      </c>
      <c r="C68" s="271"/>
      <c r="D68" s="271"/>
      <c r="E68" s="271"/>
      <c r="F68" s="272"/>
      <c r="G68" s="273">
        <v>421013</v>
      </c>
      <c r="H68" s="274">
        <v>40000</v>
      </c>
      <c r="I68" s="275">
        <v>7014.11</v>
      </c>
      <c r="J68" s="274">
        <v>7014.11</v>
      </c>
    </row>
    <row r="69" spans="1:10" s="259" customFormat="1" ht="24" x14ac:dyDescent="0.55000000000000004">
      <c r="A69" s="270" t="s">
        <v>361</v>
      </c>
      <c r="B69" s="271" t="s">
        <v>394</v>
      </c>
      <c r="C69" s="271"/>
      <c r="D69" s="271"/>
      <c r="E69" s="271"/>
      <c r="F69" s="272"/>
      <c r="G69" s="273">
        <v>421015</v>
      </c>
      <c r="H69" s="274">
        <v>1000000</v>
      </c>
      <c r="I69" s="275">
        <v>110381.75</v>
      </c>
      <c r="J69" s="274">
        <v>110381.75</v>
      </c>
    </row>
    <row r="70" spans="1:10" s="259" customFormat="1" ht="24" x14ac:dyDescent="0.55000000000000004">
      <c r="A70" s="270" t="s">
        <v>363</v>
      </c>
      <c r="B70" s="271" t="s">
        <v>395</v>
      </c>
      <c r="C70" s="271"/>
      <c r="D70" s="271"/>
      <c r="E70" s="271"/>
      <c r="F70" s="272"/>
      <c r="G70" s="273">
        <v>421999</v>
      </c>
      <c r="H70" s="274">
        <v>10000</v>
      </c>
      <c r="I70" s="275"/>
      <c r="J70" s="274"/>
    </row>
    <row r="71" spans="1:10" s="259" customFormat="1" ht="24" x14ac:dyDescent="0.55000000000000004">
      <c r="A71" s="270" t="s">
        <v>365</v>
      </c>
      <c r="B71" s="271" t="s">
        <v>505</v>
      </c>
      <c r="C71" s="271"/>
      <c r="D71" s="271"/>
      <c r="E71" s="271"/>
      <c r="F71" s="272"/>
      <c r="G71" s="273"/>
      <c r="H71" s="268">
        <v>500000</v>
      </c>
      <c r="I71" s="269"/>
      <c r="J71" s="268"/>
    </row>
    <row r="72" spans="1:10" s="289" customFormat="1" ht="24" x14ac:dyDescent="0.55000000000000004">
      <c r="A72" s="297"/>
      <c r="B72" s="271"/>
      <c r="C72" s="271"/>
      <c r="D72" s="271"/>
      <c r="E72" s="861" t="s">
        <v>151</v>
      </c>
      <c r="F72" s="862"/>
      <c r="G72" s="298"/>
      <c r="H72" s="299">
        <f>SUM(H61:H71)</f>
        <v>11890000</v>
      </c>
      <c r="I72" s="300">
        <f>SUM(I61:I71)</f>
        <v>956708.22</v>
      </c>
      <c r="J72" s="299">
        <f>SUM(J61:J71)</f>
        <v>956708.22</v>
      </c>
    </row>
    <row r="73" spans="1:10" s="289" customFormat="1" ht="24" x14ac:dyDescent="0.55000000000000004">
      <c r="A73" s="305"/>
      <c r="B73" s="306"/>
      <c r="C73" s="306"/>
      <c r="D73" s="306"/>
      <c r="E73" s="847"/>
      <c r="F73" s="848"/>
      <c r="G73" s="307"/>
      <c r="H73" s="299"/>
      <c r="I73" s="299"/>
      <c r="J73" s="299"/>
    </row>
    <row r="75" spans="1:10" s="289" customFormat="1" ht="24" x14ac:dyDescent="0.55000000000000004">
      <c r="A75" s="849"/>
      <c r="B75" s="849"/>
      <c r="C75" s="849"/>
      <c r="D75" s="849"/>
      <c r="G75" s="265"/>
      <c r="H75" s="258"/>
      <c r="I75" s="258"/>
      <c r="J75" s="258"/>
    </row>
    <row r="76" spans="1:10" s="289" customFormat="1" ht="24" x14ac:dyDescent="0.55000000000000004">
      <c r="A76" s="389"/>
      <c r="B76" s="389"/>
      <c r="C76" s="389"/>
      <c r="D76" s="389"/>
      <c r="H76" s="258"/>
      <c r="I76" s="258"/>
      <c r="J76" s="258"/>
    </row>
    <row r="77" spans="1:10" s="289" customFormat="1" ht="24" x14ac:dyDescent="0.55000000000000004">
      <c r="A77" s="389"/>
      <c r="B77" s="389"/>
      <c r="C77" s="389"/>
      <c r="D77" s="389"/>
      <c r="H77" s="258"/>
      <c r="I77" s="258"/>
      <c r="J77" s="258"/>
    </row>
    <row r="78" spans="1:10" s="289" customFormat="1" ht="24" x14ac:dyDescent="0.55000000000000004">
      <c r="A78" s="389"/>
      <c r="B78" s="389"/>
      <c r="C78" s="389"/>
      <c r="D78" s="389"/>
      <c r="H78" s="258"/>
      <c r="I78" s="258"/>
      <c r="J78" s="258"/>
    </row>
    <row r="79" spans="1:10" s="289" customFormat="1" ht="24" x14ac:dyDescent="0.55000000000000004">
      <c r="A79" s="389"/>
      <c r="B79" s="389"/>
      <c r="C79" s="389"/>
      <c r="D79" s="389"/>
      <c r="H79" s="258"/>
      <c r="I79" s="258"/>
      <c r="J79" s="258"/>
    </row>
    <row r="80" spans="1:10" s="289" customFormat="1" ht="24" x14ac:dyDescent="0.55000000000000004">
      <c r="A80" s="389"/>
      <c r="B80" s="389"/>
      <c r="C80" s="389"/>
      <c r="D80" s="389"/>
      <c r="H80" s="258"/>
      <c r="I80" s="258"/>
      <c r="J80" s="258"/>
    </row>
    <row r="81" spans="1:11" s="289" customFormat="1" ht="24" x14ac:dyDescent="0.55000000000000004">
      <c r="A81" s="389"/>
      <c r="B81" s="389"/>
      <c r="C81" s="389"/>
      <c r="D81" s="389"/>
      <c r="H81" s="258"/>
      <c r="I81" s="258"/>
      <c r="J81" s="258"/>
    </row>
    <row r="82" spans="1:11" s="289" customFormat="1" ht="24" x14ac:dyDescent="0.55000000000000004">
      <c r="A82" s="389"/>
      <c r="B82" s="389"/>
      <c r="C82" s="389"/>
      <c r="D82" s="389"/>
      <c r="F82" s="408" t="s">
        <v>491</v>
      </c>
      <c r="H82" s="258"/>
      <c r="I82" s="258"/>
      <c r="J82" s="258"/>
    </row>
    <row r="83" spans="1:11" s="289" customFormat="1" ht="24" x14ac:dyDescent="0.55000000000000004">
      <c r="A83" s="408"/>
      <c r="B83" s="408"/>
      <c r="C83" s="408"/>
      <c r="D83" s="408"/>
      <c r="F83" s="408"/>
      <c r="H83" s="258"/>
      <c r="I83" s="258"/>
      <c r="J83" s="258"/>
    </row>
    <row r="84" spans="1:11" s="289" customFormat="1" ht="24" x14ac:dyDescent="0.55000000000000004">
      <c r="A84" s="850"/>
      <c r="B84" s="851"/>
      <c r="C84" s="851"/>
      <c r="D84" s="851"/>
      <c r="E84" s="851"/>
      <c r="F84" s="852"/>
      <c r="G84" s="411" t="s">
        <v>78</v>
      </c>
      <c r="H84" s="411" t="s">
        <v>6</v>
      </c>
      <c r="I84" s="261" t="s">
        <v>335</v>
      </c>
      <c r="J84" s="412" t="s">
        <v>336</v>
      </c>
    </row>
    <row r="85" spans="1:11" s="289" customFormat="1" ht="24" x14ac:dyDescent="0.55000000000000004">
      <c r="A85" s="301" t="s">
        <v>396</v>
      </c>
      <c r="B85" s="302"/>
      <c r="C85" s="271"/>
      <c r="D85" s="271"/>
      <c r="E85" s="271"/>
      <c r="F85" s="272"/>
      <c r="G85" s="298"/>
      <c r="H85" s="268"/>
      <c r="I85" s="269"/>
      <c r="J85" s="268"/>
    </row>
    <row r="86" spans="1:11" s="289" customFormat="1" ht="24" x14ac:dyDescent="0.55000000000000004">
      <c r="A86" s="270" t="s">
        <v>339</v>
      </c>
      <c r="B86" s="271" t="s">
        <v>469</v>
      </c>
      <c r="C86" s="271"/>
      <c r="D86" s="271"/>
      <c r="E86" s="271"/>
      <c r="F86" s="272"/>
      <c r="G86" s="273">
        <v>431002</v>
      </c>
      <c r="H86" s="274">
        <v>4750000</v>
      </c>
      <c r="I86" s="275">
        <v>0</v>
      </c>
      <c r="J86" s="274">
        <v>0</v>
      </c>
    </row>
    <row r="87" spans="1:11" s="289" customFormat="1" ht="24" x14ac:dyDescent="0.55000000000000004">
      <c r="A87" s="397"/>
      <c r="B87" s="271" t="s">
        <v>470</v>
      </c>
      <c r="C87" s="271"/>
      <c r="D87" s="271"/>
      <c r="E87" s="392"/>
      <c r="F87" s="398"/>
      <c r="G87" s="298"/>
      <c r="H87" s="402"/>
      <c r="I87" s="402"/>
      <c r="J87" s="402"/>
    </row>
    <row r="88" spans="1:11" s="289" customFormat="1" ht="24" x14ac:dyDescent="0.55000000000000004">
      <c r="A88" s="397"/>
      <c r="B88" s="271" t="s">
        <v>483</v>
      </c>
      <c r="C88" s="271"/>
      <c r="D88" s="392"/>
      <c r="E88" s="392"/>
      <c r="F88" s="398"/>
      <c r="G88" s="298"/>
      <c r="H88" s="402"/>
      <c r="I88" s="402"/>
      <c r="J88" s="402"/>
    </row>
    <row r="89" spans="1:11" s="289" customFormat="1" ht="24" x14ac:dyDescent="0.55000000000000004">
      <c r="A89" s="397"/>
      <c r="B89" s="271" t="s">
        <v>481</v>
      </c>
      <c r="C89" s="271"/>
      <c r="D89" s="392"/>
      <c r="E89" s="392"/>
      <c r="F89" s="398"/>
      <c r="G89" s="298"/>
      <c r="H89" s="402"/>
      <c r="I89" s="402"/>
      <c r="J89" s="402"/>
    </row>
    <row r="90" spans="1:11" s="289" customFormat="1" ht="24" x14ac:dyDescent="0.55000000000000004">
      <c r="A90" s="397"/>
      <c r="B90" s="271" t="s">
        <v>487</v>
      </c>
      <c r="C90" s="271"/>
      <c r="D90" s="271"/>
      <c r="E90" s="271"/>
      <c r="F90" s="272"/>
      <c r="G90" s="298"/>
      <c r="H90" s="274"/>
      <c r="I90" s="275"/>
      <c r="J90" s="274"/>
    </row>
    <row r="91" spans="1:11" s="289" customFormat="1" ht="24" x14ac:dyDescent="0.55000000000000004">
      <c r="A91" s="397"/>
      <c r="B91" s="291" t="s">
        <v>486</v>
      </c>
      <c r="C91" s="291"/>
      <c r="D91" s="291"/>
      <c r="E91" s="265"/>
      <c r="F91" s="266"/>
      <c r="G91" s="402"/>
      <c r="H91" s="274"/>
      <c r="I91" s="275"/>
      <c r="J91" s="274"/>
    </row>
    <row r="92" spans="1:11" s="289" customFormat="1" ht="24" x14ac:dyDescent="0.55000000000000004">
      <c r="A92" s="397"/>
      <c r="B92" s="271" t="s">
        <v>482</v>
      </c>
      <c r="C92" s="271"/>
      <c r="D92" s="271"/>
      <c r="E92" s="392"/>
      <c r="F92" s="398"/>
      <c r="G92" s="402"/>
      <c r="H92" s="274"/>
      <c r="I92" s="275"/>
      <c r="J92" s="274"/>
      <c r="K92" s="289">
        <v>3</v>
      </c>
    </row>
    <row r="93" spans="1:11" s="289" customFormat="1" ht="24" x14ac:dyDescent="0.55000000000000004">
      <c r="A93" s="397"/>
      <c r="B93" s="392"/>
      <c r="C93" s="392"/>
      <c r="D93" s="392"/>
      <c r="E93" s="392"/>
      <c r="F93" s="398"/>
      <c r="G93" s="402"/>
      <c r="H93" s="274"/>
      <c r="I93" s="275"/>
      <c r="J93" s="274"/>
    </row>
    <row r="94" spans="1:11" s="289" customFormat="1" ht="24" x14ac:dyDescent="0.55000000000000004">
      <c r="A94" s="397"/>
      <c r="B94" s="392"/>
      <c r="C94" s="392"/>
      <c r="D94" s="392"/>
      <c r="E94" s="392"/>
      <c r="F94" s="398"/>
      <c r="G94" s="402"/>
      <c r="H94" s="274"/>
      <c r="I94" s="275"/>
      <c r="J94" s="274"/>
    </row>
    <row r="95" spans="1:11" s="289" customFormat="1" ht="24" x14ac:dyDescent="0.55000000000000004">
      <c r="A95" s="397"/>
      <c r="B95" s="392"/>
      <c r="C95" s="392"/>
      <c r="D95" s="392"/>
      <c r="E95" s="392"/>
      <c r="F95" s="398"/>
      <c r="G95" s="402"/>
      <c r="H95" s="303"/>
      <c r="I95" s="399"/>
      <c r="J95" s="303"/>
    </row>
    <row r="96" spans="1:11" s="289" customFormat="1" ht="24" x14ac:dyDescent="0.55000000000000004">
      <c r="A96" s="305"/>
      <c r="B96" s="306"/>
      <c r="C96" s="306"/>
      <c r="D96" s="306"/>
      <c r="E96" s="847" t="s">
        <v>151</v>
      </c>
      <c r="F96" s="848"/>
      <c r="G96" s="307"/>
      <c r="H96" s="299">
        <f>SUM(H86)</f>
        <v>4750000</v>
      </c>
      <c r="I96" s="299">
        <v>0</v>
      </c>
      <c r="J96" s="299">
        <f>SUM(J86)</f>
        <v>0</v>
      </c>
    </row>
    <row r="97" spans="1:10" s="289" customFormat="1" ht="24.75" thickBot="1" x14ac:dyDescent="0.6">
      <c r="A97" s="265"/>
      <c r="B97" s="265"/>
      <c r="C97" s="265"/>
      <c r="D97" s="265"/>
      <c r="E97" s="308"/>
      <c r="F97" s="308" t="s">
        <v>397</v>
      </c>
      <c r="G97" s="265"/>
      <c r="H97" s="309">
        <f>+H12+H36+H47+H51+H55+H59+H72+H96</f>
        <v>22000000</v>
      </c>
      <c r="I97" s="309">
        <f>+I72+I59+I55+I51+I47+I36+I12</f>
        <v>998683.22</v>
      </c>
      <c r="J97" s="309">
        <f>+J72+J59+J55+J51+J47+J36+J12</f>
        <v>998683.22</v>
      </c>
    </row>
    <row r="98" spans="1:10" ht="15" thickTop="1" x14ac:dyDescent="0.2"/>
    <row r="113" spans="1:10" s="289" customFormat="1" ht="24" x14ac:dyDescent="0.55000000000000004">
      <c r="A113" s="389"/>
      <c r="B113" s="389"/>
      <c r="C113" s="389"/>
      <c r="D113" s="389"/>
      <c r="E113" s="389"/>
      <c r="F113" s="390"/>
      <c r="G113" s="390"/>
      <c r="H113" s="390"/>
      <c r="I113" s="390"/>
      <c r="J113" s="258"/>
    </row>
    <row r="114" spans="1:10" s="289" customFormat="1" ht="24" x14ac:dyDescent="0.55000000000000004">
      <c r="A114" s="849"/>
      <c r="B114" s="849"/>
      <c r="C114" s="849"/>
      <c r="D114" s="849"/>
      <c r="E114" s="310"/>
      <c r="F114" s="311"/>
      <c r="G114" s="311"/>
      <c r="H114" s="311"/>
      <c r="I114" s="311"/>
      <c r="J114" s="258"/>
    </row>
    <row r="115" spans="1:10" s="312" customFormat="1" ht="24" x14ac:dyDescent="0.55000000000000004">
      <c r="A115" s="289"/>
      <c r="B115" s="289"/>
      <c r="C115" s="258"/>
      <c r="H115" s="313"/>
      <c r="I115" s="313"/>
      <c r="J115" s="313"/>
    </row>
    <row r="116" spans="1:10" s="289" customFormat="1" ht="24" x14ac:dyDescent="0.55000000000000004"/>
    <row r="117" spans="1:10" s="289" customFormat="1" ht="24" x14ac:dyDescent="0.55000000000000004"/>
    <row r="118" spans="1:10" s="312" customFormat="1" ht="24" x14ac:dyDescent="0.55000000000000004"/>
    <row r="119" spans="1:10" s="312" customFormat="1" ht="24" x14ac:dyDescent="0.55000000000000004">
      <c r="H119" s="313"/>
      <c r="I119" s="313"/>
      <c r="J119" s="313"/>
    </row>
    <row r="120" spans="1:10" s="312" customFormat="1" ht="24" x14ac:dyDescent="0.55000000000000004">
      <c r="H120" s="313"/>
      <c r="I120" s="313"/>
      <c r="J120" s="313"/>
    </row>
    <row r="121" spans="1:10" s="312" customFormat="1" ht="24" x14ac:dyDescent="0.55000000000000004">
      <c r="H121" s="313"/>
      <c r="I121" s="313"/>
      <c r="J121" s="313"/>
    </row>
    <row r="122" spans="1:10" s="312" customFormat="1" ht="24" x14ac:dyDescent="0.55000000000000004">
      <c r="H122" s="313"/>
      <c r="I122" s="313"/>
      <c r="J122" s="313"/>
    </row>
    <row r="123" spans="1:10" s="312" customFormat="1" ht="24" x14ac:dyDescent="0.55000000000000004">
      <c r="H123" s="313"/>
      <c r="I123" s="313"/>
      <c r="J123" s="313"/>
    </row>
    <row r="124" spans="1:10" x14ac:dyDescent="0.2">
      <c r="F124" s="409" t="s">
        <v>492</v>
      </c>
    </row>
    <row r="126" spans="1:10" ht="24" x14ac:dyDescent="0.55000000000000004">
      <c r="A126" s="850"/>
      <c r="B126" s="851"/>
      <c r="C126" s="851"/>
      <c r="D126" s="851"/>
      <c r="E126" s="851"/>
      <c r="F126" s="852"/>
      <c r="G126" s="411" t="s">
        <v>78</v>
      </c>
      <c r="H126" s="411" t="s">
        <v>6</v>
      </c>
      <c r="I126" s="261" t="s">
        <v>335</v>
      </c>
      <c r="J126" s="412" t="s">
        <v>336</v>
      </c>
    </row>
    <row r="127" spans="1:10" ht="24" x14ac:dyDescent="0.55000000000000004">
      <c r="A127" s="405" t="s">
        <v>477</v>
      </c>
      <c r="B127" s="406"/>
      <c r="C127" s="291"/>
      <c r="D127" s="291"/>
      <c r="E127" s="291"/>
      <c r="F127" s="292"/>
      <c r="G127" s="402"/>
      <c r="H127" s="268"/>
      <c r="I127" s="269"/>
      <c r="J127" s="268"/>
    </row>
    <row r="128" spans="1:10" ht="24" x14ac:dyDescent="0.55000000000000004">
      <c r="A128" s="270" t="s">
        <v>339</v>
      </c>
      <c r="B128" s="271" t="s">
        <v>476</v>
      </c>
      <c r="C128" s="271"/>
      <c r="D128" s="271"/>
      <c r="E128" s="271"/>
      <c r="F128" s="272"/>
      <c r="G128" s="273"/>
      <c r="H128" s="274"/>
      <c r="I128" s="275"/>
      <c r="J128" s="274"/>
    </row>
    <row r="129" spans="1:10" ht="24" x14ac:dyDescent="0.55000000000000004">
      <c r="A129" s="270"/>
      <c r="B129" s="271" t="s">
        <v>484</v>
      </c>
      <c r="C129" s="271"/>
      <c r="D129" s="271"/>
      <c r="E129" s="271"/>
      <c r="F129" s="272"/>
      <c r="G129" s="273"/>
      <c r="H129" s="274"/>
      <c r="I129" s="275"/>
      <c r="J129" s="274"/>
    </row>
    <row r="130" spans="1:10" ht="24" x14ac:dyDescent="0.55000000000000004">
      <c r="A130" s="270"/>
      <c r="B130" s="271" t="s">
        <v>485</v>
      </c>
      <c r="C130" s="271"/>
      <c r="D130" s="271"/>
      <c r="E130" s="271"/>
      <c r="F130" s="272"/>
      <c r="G130" s="273"/>
      <c r="H130" s="274"/>
      <c r="I130" s="275"/>
      <c r="J130" s="274"/>
    </row>
    <row r="131" spans="1:10" ht="24" x14ac:dyDescent="0.55000000000000004">
      <c r="A131" s="270"/>
      <c r="B131" s="302" t="s">
        <v>488</v>
      </c>
      <c r="C131" s="302"/>
      <c r="D131" s="302"/>
      <c r="E131" s="271"/>
      <c r="F131" s="272"/>
      <c r="G131" s="273"/>
      <c r="H131" s="274"/>
      <c r="I131" s="275"/>
      <c r="J131" s="274"/>
    </row>
    <row r="132" spans="1:10" ht="24" x14ac:dyDescent="0.55000000000000004">
      <c r="A132" s="270"/>
      <c r="B132" s="271" t="s">
        <v>478</v>
      </c>
      <c r="C132" s="271"/>
      <c r="D132" s="271"/>
      <c r="E132" s="271"/>
      <c r="F132" s="272"/>
      <c r="G132" s="273"/>
      <c r="H132" s="274"/>
      <c r="I132" s="275"/>
      <c r="J132" s="274"/>
    </row>
    <row r="133" spans="1:10" ht="24" x14ac:dyDescent="0.55000000000000004">
      <c r="A133" s="270"/>
      <c r="B133" s="271" t="s">
        <v>479</v>
      </c>
      <c r="C133" s="271"/>
      <c r="D133" s="271"/>
      <c r="E133" s="271"/>
      <c r="F133" s="272"/>
      <c r="G133" s="273"/>
      <c r="H133" s="274"/>
      <c r="I133" s="275">
        <v>21800</v>
      </c>
      <c r="J133" s="274">
        <v>21800</v>
      </c>
    </row>
    <row r="134" spans="1:10" ht="24" x14ac:dyDescent="0.55000000000000004">
      <c r="A134" s="270"/>
      <c r="B134" s="271" t="s">
        <v>480</v>
      </c>
      <c r="C134" s="271"/>
      <c r="D134" s="271"/>
      <c r="E134" s="271"/>
      <c r="F134" s="272"/>
      <c r="G134" s="273"/>
      <c r="H134" s="274"/>
      <c r="I134" s="275">
        <v>1090</v>
      </c>
      <c r="J134" s="274">
        <v>1090</v>
      </c>
    </row>
    <row r="135" spans="1:10" ht="24" x14ac:dyDescent="0.55000000000000004">
      <c r="A135" s="270"/>
      <c r="B135" s="271" t="s">
        <v>489</v>
      </c>
      <c r="C135" s="271"/>
      <c r="D135" s="271"/>
      <c r="E135" s="271"/>
      <c r="F135" s="272"/>
      <c r="G135" s="273"/>
      <c r="H135" s="274"/>
      <c r="I135" s="275"/>
      <c r="J135" s="274"/>
    </row>
    <row r="136" spans="1:10" ht="24" x14ac:dyDescent="0.55000000000000004">
      <c r="A136" s="270"/>
      <c r="B136" s="271" t="s">
        <v>490</v>
      </c>
      <c r="C136" s="271"/>
      <c r="D136" s="271"/>
      <c r="E136" s="271"/>
      <c r="F136" s="272"/>
      <c r="G136" s="273"/>
      <c r="H136" s="274"/>
      <c r="I136" s="275"/>
      <c r="J136" s="274"/>
    </row>
    <row r="137" spans="1:10" ht="24" x14ac:dyDescent="0.55000000000000004">
      <c r="A137" s="270"/>
      <c r="B137" s="271"/>
      <c r="C137" s="271"/>
      <c r="D137" s="271"/>
      <c r="E137" s="271"/>
      <c r="F137" s="272"/>
      <c r="G137" s="273"/>
      <c r="H137" s="274"/>
      <c r="I137" s="275"/>
      <c r="J137" s="274"/>
    </row>
    <row r="138" spans="1:10" ht="24" x14ac:dyDescent="0.55000000000000004">
      <c r="A138" s="270"/>
      <c r="B138" s="271"/>
      <c r="C138" s="271"/>
      <c r="D138" s="271"/>
      <c r="E138" s="271"/>
      <c r="F138" s="272"/>
      <c r="G138" s="273"/>
      <c r="H138" s="274"/>
      <c r="I138" s="275"/>
      <c r="J138" s="274"/>
    </row>
    <row r="139" spans="1:10" ht="24" x14ac:dyDescent="0.55000000000000004">
      <c r="A139" s="270"/>
      <c r="B139" s="271"/>
      <c r="C139" s="271"/>
      <c r="D139" s="271"/>
      <c r="E139" s="271"/>
      <c r="F139" s="272"/>
      <c r="G139" s="273"/>
      <c r="H139" s="274"/>
      <c r="I139" s="275"/>
      <c r="J139" s="274"/>
    </row>
    <row r="140" spans="1:10" ht="24" x14ac:dyDescent="0.55000000000000004">
      <c r="A140" s="305"/>
      <c r="B140" s="306"/>
      <c r="C140" s="306"/>
      <c r="D140" s="306"/>
      <c r="E140" s="847" t="s">
        <v>151</v>
      </c>
      <c r="F140" s="848"/>
      <c r="G140" s="307"/>
      <c r="H140" s="299">
        <f>SUM(H129:H139)</f>
        <v>0</v>
      </c>
      <c r="I140" s="299">
        <f>SUM(I129:I139)</f>
        <v>22890</v>
      </c>
      <c r="J140" s="299">
        <f>SUM(J127:J139)</f>
        <v>22890</v>
      </c>
    </row>
    <row r="141" spans="1:10" ht="24.75" thickBot="1" x14ac:dyDescent="0.6">
      <c r="A141" s="428"/>
      <c r="B141" s="265"/>
      <c r="C141" s="265"/>
      <c r="D141" s="265"/>
      <c r="E141" s="420" t="s">
        <v>506</v>
      </c>
      <c r="G141" s="265"/>
      <c r="H141" s="425">
        <f>SUM(H140)</f>
        <v>0</v>
      </c>
      <c r="I141" s="425">
        <f>SUM(I140)</f>
        <v>22890</v>
      </c>
      <c r="J141" s="425">
        <f>SUM(J140)</f>
        <v>22890</v>
      </c>
    </row>
    <row r="142" spans="1:10" ht="24" x14ac:dyDescent="0.55000000000000004">
      <c r="A142" s="421"/>
      <c r="B142" s="422"/>
      <c r="C142" s="422"/>
      <c r="D142" s="422"/>
      <c r="E142" s="423" t="s">
        <v>507</v>
      </c>
      <c r="F142" s="161"/>
      <c r="G142" s="424"/>
      <c r="H142" s="426"/>
      <c r="I142" s="426">
        <f>+I141+I97</f>
        <v>1021573.22</v>
      </c>
      <c r="J142" s="427">
        <f>+J141+J97</f>
        <v>1021573.22</v>
      </c>
    </row>
    <row r="143" spans="1:10" ht="24" x14ac:dyDescent="0.55000000000000004">
      <c r="A143" s="270"/>
      <c r="B143" s="271"/>
      <c r="C143" s="271"/>
      <c r="D143" s="271"/>
      <c r="E143" s="271"/>
      <c r="F143" s="272"/>
      <c r="G143" s="273"/>
      <c r="H143" s="274"/>
      <c r="I143" s="275"/>
      <c r="J143" s="274"/>
    </row>
    <row r="144" spans="1:10" ht="24" x14ac:dyDescent="0.55000000000000004">
      <c r="A144" s="304" t="s">
        <v>630</v>
      </c>
      <c r="B144" s="302"/>
      <c r="C144" s="271"/>
      <c r="D144" s="271"/>
      <c r="E144" s="271"/>
      <c r="F144" s="272"/>
      <c r="G144" s="273"/>
      <c r="H144" s="274"/>
      <c r="I144" s="275"/>
      <c r="J144" s="274"/>
    </row>
    <row r="145" spans="1:10" ht="24" x14ac:dyDescent="0.55000000000000004">
      <c r="A145" s="270"/>
      <c r="B145" s="271" t="s">
        <v>633</v>
      </c>
      <c r="C145" s="271"/>
      <c r="D145" s="271"/>
      <c r="E145" s="271"/>
      <c r="F145" s="272"/>
      <c r="G145" s="273"/>
      <c r="H145" s="274"/>
      <c r="I145" s="275">
        <v>1284600</v>
      </c>
      <c r="J145" s="274">
        <v>1284600</v>
      </c>
    </row>
    <row r="146" spans="1:10" ht="24" x14ac:dyDescent="0.55000000000000004">
      <c r="A146" s="270"/>
      <c r="B146" s="271"/>
      <c r="C146" s="271"/>
      <c r="D146" s="271"/>
      <c r="E146" s="271"/>
      <c r="F146" s="272"/>
      <c r="G146" s="273"/>
      <c r="H146" s="274"/>
      <c r="I146" s="275"/>
      <c r="J146" s="274"/>
    </row>
    <row r="147" spans="1:10" ht="24" x14ac:dyDescent="0.55000000000000004">
      <c r="A147" s="270"/>
      <c r="B147" s="271"/>
      <c r="C147" s="271"/>
      <c r="D147" s="271"/>
      <c r="E147" s="271"/>
      <c r="F147" s="272"/>
      <c r="G147" s="273"/>
      <c r="H147" s="274"/>
      <c r="I147" s="275"/>
      <c r="J147" s="274"/>
    </row>
    <row r="148" spans="1:10" ht="24" x14ac:dyDescent="0.55000000000000004">
      <c r="A148" s="270"/>
      <c r="B148" s="271"/>
      <c r="C148" s="271"/>
      <c r="D148" s="271"/>
      <c r="E148" s="271"/>
      <c r="F148" s="272"/>
      <c r="G148" s="273"/>
      <c r="H148" s="274"/>
      <c r="I148" s="275"/>
      <c r="J148" s="274"/>
    </row>
    <row r="149" spans="1:10" ht="24" x14ac:dyDescent="0.55000000000000004">
      <c r="A149" s="270"/>
      <c r="B149" s="271"/>
      <c r="C149" s="271"/>
      <c r="D149" s="271"/>
      <c r="E149" s="271"/>
      <c r="F149" s="272"/>
      <c r="G149" s="273"/>
      <c r="H149" s="274"/>
      <c r="I149" s="275"/>
      <c r="J149" s="274"/>
    </row>
    <row r="150" spans="1:10" ht="24" x14ac:dyDescent="0.55000000000000004">
      <c r="A150" s="305"/>
      <c r="B150" s="306"/>
      <c r="C150" s="306"/>
      <c r="D150" s="306"/>
      <c r="E150" s="847" t="s">
        <v>151</v>
      </c>
      <c r="F150" s="848"/>
      <c r="G150" s="307"/>
      <c r="H150" s="299">
        <f>SUM(H137:H149)</f>
        <v>0</v>
      </c>
      <c r="I150" s="299">
        <f>SUM(I145:I149)</f>
        <v>1284600</v>
      </c>
      <c r="J150" s="299">
        <f>SUM(J145:J149)</f>
        <v>1284600</v>
      </c>
    </row>
    <row r="151" spans="1:10" ht="24" x14ac:dyDescent="0.55000000000000004">
      <c r="A151" s="421"/>
      <c r="B151" s="422"/>
      <c r="C151" s="422"/>
      <c r="D151" s="422"/>
      <c r="E151" s="423" t="s">
        <v>507</v>
      </c>
      <c r="F151" s="161"/>
      <c r="G151" s="424"/>
      <c r="H151" s="426"/>
      <c r="I151" s="426">
        <f>+I142+I150</f>
        <v>2306173.2199999997</v>
      </c>
      <c r="J151" s="426">
        <f>+J142+J150</f>
        <v>2306173.2199999997</v>
      </c>
    </row>
    <row r="156" spans="1:10" ht="24" x14ac:dyDescent="0.55000000000000004">
      <c r="A156" s="400" t="s">
        <v>471</v>
      </c>
      <c r="B156" s="400"/>
      <c r="C156" s="400"/>
      <c r="D156" s="400"/>
      <c r="E156" s="400"/>
      <c r="F156" s="400" t="s">
        <v>626</v>
      </c>
      <c r="G156" s="401"/>
      <c r="H156" s="401"/>
      <c r="I156" s="258" t="s">
        <v>474</v>
      </c>
      <c r="J156" s="258"/>
    </row>
    <row r="157" spans="1:10" ht="24" x14ac:dyDescent="0.55000000000000004">
      <c r="A157" s="400" t="s">
        <v>472</v>
      </c>
      <c r="B157" s="400"/>
      <c r="C157" s="400"/>
      <c r="D157" s="400"/>
      <c r="E157" s="400"/>
      <c r="F157" s="400" t="s">
        <v>510</v>
      </c>
      <c r="G157" s="401"/>
      <c r="H157" s="401"/>
      <c r="I157" s="258" t="s">
        <v>473</v>
      </c>
      <c r="J157" s="258"/>
    </row>
    <row r="158" spans="1:10" ht="24" x14ac:dyDescent="0.55000000000000004">
      <c r="A158" s="312"/>
      <c r="B158" s="312"/>
      <c r="C158" s="312"/>
      <c r="D158" s="312"/>
      <c r="E158" s="312"/>
      <c r="F158" s="400" t="s">
        <v>475</v>
      </c>
      <c r="G158" s="401"/>
      <c r="H158" s="401"/>
      <c r="I158" s="313"/>
      <c r="J158" s="313"/>
    </row>
    <row r="165" spans="1:10" s="259" customFormat="1" ht="24" x14ac:dyDescent="0.55000000000000004">
      <c r="A165" s="853" t="s">
        <v>76</v>
      </c>
      <c r="B165" s="853"/>
      <c r="C165" s="853"/>
      <c r="D165" s="853"/>
      <c r="E165" s="853"/>
      <c r="F165" s="853"/>
      <c r="G165" s="853"/>
      <c r="H165" s="853"/>
      <c r="I165" s="853"/>
      <c r="J165" s="853"/>
    </row>
    <row r="166" spans="1:10" s="259" customFormat="1" ht="24" x14ac:dyDescent="0.55000000000000004">
      <c r="A166" s="853" t="s">
        <v>334</v>
      </c>
      <c r="B166" s="853"/>
      <c r="C166" s="853"/>
      <c r="D166" s="853"/>
      <c r="E166" s="853"/>
      <c r="F166" s="853"/>
      <c r="G166" s="853"/>
      <c r="H166" s="853"/>
      <c r="I166" s="853"/>
      <c r="J166" s="853"/>
    </row>
    <row r="167" spans="1:10" s="259" customFormat="1" ht="24" x14ac:dyDescent="0.55000000000000004">
      <c r="A167" s="854" t="s">
        <v>508</v>
      </c>
      <c r="B167" s="854"/>
      <c r="C167" s="854"/>
      <c r="D167" s="854"/>
      <c r="E167" s="854"/>
      <c r="F167" s="854"/>
      <c r="G167" s="854"/>
      <c r="H167" s="854"/>
      <c r="I167" s="854"/>
      <c r="J167" s="854"/>
    </row>
    <row r="168" spans="1:10" s="259" customFormat="1" ht="24" x14ac:dyDescent="0.55000000000000004">
      <c r="A168" s="855"/>
      <c r="B168" s="856"/>
      <c r="C168" s="856"/>
      <c r="D168" s="856"/>
      <c r="E168" s="856"/>
      <c r="F168" s="857"/>
      <c r="G168" s="260" t="s">
        <v>78</v>
      </c>
      <c r="H168" s="260" t="s">
        <v>6</v>
      </c>
      <c r="I168" s="261" t="s">
        <v>335</v>
      </c>
      <c r="J168" s="262" t="s">
        <v>336</v>
      </c>
    </row>
    <row r="169" spans="1:10" s="259" customFormat="1" ht="24" x14ac:dyDescent="0.55000000000000004">
      <c r="A169" s="263" t="s">
        <v>337</v>
      </c>
      <c r="B169" s="264"/>
      <c r="C169" s="265"/>
      <c r="D169" s="265"/>
      <c r="E169" s="265"/>
      <c r="F169" s="266"/>
      <c r="G169" s="267"/>
      <c r="H169" s="268"/>
      <c r="I169" s="269"/>
      <c r="J169" s="268"/>
    </row>
    <row r="170" spans="1:10" s="259" customFormat="1" ht="24" x14ac:dyDescent="0.55000000000000004">
      <c r="A170" s="263" t="s">
        <v>338</v>
      </c>
      <c r="B170" s="264"/>
      <c r="C170" s="265"/>
      <c r="D170" s="265"/>
      <c r="E170" s="265"/>
      <c r="F170" s="266"/>
      <c r="G170" s="267"/>
      <c r="H170" s="268"/>
      <c r="I170" s="269"/>
      <c r="J170" s="268"/>
    </row>
    <row r="171" spans="1:10" s="259" customFormat="1" ht="24" x14ac:dyDescent="0.55000000000000004">
      <c r="A171" s="270" t="s">
        <v>339</v>
      </c>
      <c r="B171" s="271" t="s">
        <v>340</v>
      </c>
      <c r="C171" s="271"/>
      <c r="D171" s="271"/>
      <c r="E171" s="271"/>
      <c r="F171" s="272"/>
      <c r="G171" s="273">
        <v>411001</v>
      </c>
      <c r="H171" s="274">
        <v>3900000</v>
      </c>
      <c r="I171" s="275">
        <v>0</v>
      </c>
      <c r="J171" s="274">
        <v>0</v>
      </c>
    </row>
    <row r="172" spans="1:10" s="259" customFormat="1" ht="24" x14ac:dyDescent="0.55000000000000004">
      <c r="A172" s="270" t="s">
        <v>341</v>
      </c>
      <c r="B172" s="271" t="s">
        <v>342</v>
      </c>
      <c r="C172" s="271"/>
      <c r="D172" s="271"/>
      <c r="E172" s="271"/>
      <c r="F172" s="272"/>
      <c r="G172" s="273">
        <v>411002</v>
      </c>
      <c r="H172" s="274">
        <v>50000</v>
      </c>
      <c r="I172" s="275">
        <v>222.3</v>
      </c>
      <c r="J172" s="274">
        <v>222.3</v>
      </c>
    </row>
    <row r="173" spans="1:10" s="259" customFormat="1" ht="24" x14ac:dyDescent="0.55000000000000004">
      <c r="A173" s="270" t="s">
        <v>343</v>
      </c>
      <c r="B173" s="271" t="s">
        <v>344</v>
      </c>
      <c r="C173" s="271"/>
      <c r="D173" s="271"/>
      <c r="E173" s="271"/>
      <c r="F173" s="272"/>
      <c r="G173" s="273">
        <v>411003</v>
      </c>
      <c r="H173" s="274">
        <v>20000</v>
      </c>
      <c r="I173" s="275"/>
      <c r="J173" s="274"/>
    </row>
    <row r="174" spans="1:10" s="259" customFormat="1" ht="24" x14ac:dyDescent="0.55000000000000004">
      <c r="A174" s="270" t="s">
        <v>345</v>
      </c>
      <c r="B174" s="271" t="s">
        <v>346</v>
      </c>
      <c r="C174" s="271"/>
      <c r="D174" s="271"/>
      <c r="E174" s="271"/>
      <c r="F174" s="272"/>
      <c r="G174" s="273">
        <v>411004</v>
      </c>
      <c r="H174" s="274">
        <v>0</v>
      </c>
      <c r="I174" s="275"/>
      <c r="J174" s="274"/>
    </row>
    <row r="175" spans="1:10" s="259" customFormat="1" ht="24" x14ac:dyDescent="0.55000000000000004">
      <c r="A175" s="270" t="s">
        <v>347</v>
      </c>
      <c r="B175" s="271" t="s">
        <v>348</v>
      </c>
      <c r="C175" s="271"/>
      <c r="D175" s="271"/>
      <c r="E175" s="271"/>
      <c r="F175" s="272"/>
      <c r="G175" s="273">
        <v>411005</v>
      </c>
      <c r="H175" s="276">
        <v>100000</v>
      </c>
      <c r="I175" s="277">
        <v>24629.02</v>
      </c>
      <c r="J175" s="276">
        <v>24629.02</v>
      </c>
    </row>
    <row r="176" spans="1:10" s="259" customFormat="1" ht="24" x14ac:dyDescent="0.55000000000000004">
      <c r="A176" s="270"/>
      <c r="B176" s="271"/>
      <c r="C176" s="271"/>
      <c r="D176" s="271"/>
      <c r="E176" s="271"/>
      <c r="F176" s="272"/>
      <c r="G176" s="273"/>
      <c r="H176" s="299">
        <f>SUM(H171:H175)</f>
        <v>4070000</v>
      </c>
      <c r="I176" s="300">
        <f>SUM(I171:I175)</f>
        <v>24851.32</v>
      </c>
      <c r="J176" s="299">
        <f>SUM(J171:J175)</f>
        <v>24851.32</v>
      </c>
    </row>
    <row r="177" spans="1:11" s="259" customFormat="1" ht="24" x14ac:dyDescent="0.55000000000000004">
      <c r="A177" s="263" t="s">
        <v>349</v>
      </c>
      <c r="B177" s="278"/>
      <c r="C177" s="278"/>
      <c r="D177" s="278"/>
      <c r="E177" s="279"/>
      <c r="F177" s="280"/>
      <c r="G177" s="281"/>
      <c r="H177" s="282"/>
      <c r="I177" s="283"/>
      <c r="J177" s="268"/>
    </row>
    <row r="178" spans="1:11" s="259" customFormat="1" ht="24" x14ac:dyDescent="0.55000000000000004">
      <c r="A178" s="270" t="s">
        <v>339</v>
      </c>
      <c r="B178" s="271" t="s">
        <v>350</v>
      </c>
      <c r="C178" s="284"/>
      <c r="D178" s="284"/>
      <c r="E178" s="284"/>
      <c r="F178" s="285"/>
      <c r="G178" s="286">
        <v>412103</v>
      </c>
      <c r="H178" s="287">
        <v>500</v>
      </c>
      <c r="I178" s="288"/>
      <c r="J178" s="274"/>
    </row>
    <row r="179" spans="1:11" s="259" customFormat="1" ht="24" x14ac:dyDescent="0.55000000000000004">
      <c r="A179" s="270" t="s">
        <v>341</v>
      </c>
      <c r="B179" s="271" t="s">
        <v>351</v>
      </c>
      <c r="C179" s="284"/>
      <c r="D179" s="284"/>
      <c r="E179" s="284"/>
      <c r="F179" s="285"/>
      <c r="G179" s="286">
        <v>412104</v>
      </c>
      <c r="H179" s="287">
        <v>500</v>
      </c>
      <c r="I179" s="288"/>
      <c r="J179" s="274"/>
    </row>
    <row r="180" spans="1:11" s="259" customFormat="1" ht="24" x14ac:dyDescent="0.55000000000000004">
      <c r="A180" s="270" t="s">
        <v>343</v>
      </c>
      <c r="B180" s="271" t="s">
        <v>352</v>
      </c>
      <c r="C180" s="284"/>
      <c r="D180" s="284"/>
      <c r="E180" s="284"/>
      <c r="F180" s="285"/>
      <c r="G180" s="286">
        <v>4120106</v>
      </c>
      <c r="H180" s="287">
        <v>20000</v>
      </c>
      <c r="I180" s="288">
        <f>292+24</f>
        <v>316</v>
      </c>
      <c r="J180" s="274">
        <v>24</v>
      </c>
    </row>
    <row r="181" spans="1:11" s="259" customFormat="1" ht="24" x14ac:dyDescent="0.55000000000000004">
      <c r="A181" s="270" t="s">
        <v>345</v>
      </c>
      <c r="B181" s="271" t="s">
        <v>456</v>
      </c>
      <c r="C181" s="284"/>
      <c r="D181" s="284"/>
      <c r="E181" s="284"/>
      <c r="F181" s="285"/>
      <c r="G181" s="286"/>
      <c r="H181" s="287">
        <v>500</v>
      </c>
      <c r="I181" s="288"/>
      <c r="J181" s="274"/>
    </row>
    <row r="182" spans="1:11" s="259" customFormat="1" ht="24" x14ac:dyDescent="0.55000000000000004">
      <c r="A182" s="270" t="s">
        <v>347</v>
      </c>
      <c r="B182" s="271" t="s">
        <v>457</v>
      </c>
      <c r="C182" s="284"/>
      <c r="D182" s="284"/>
      <c r="E182" s="284"/>
      <c r="F182" s="285"/>
      <c r="G182" s="286"/>
      <c r="H182" s="287">
        <v>500</v>
      </c>
      <c r="I182" s="288"/>
      <c r="J182" s="274"/>
    </row>
    <row r="183" spans="1:11" s="259" customFormat="1" ht="24" x14ac:dyDescent="0.55000000000000004">
      <c r="A183" s="270"/>
      <c r="B183" s="271" t="s">
        <v>458</v>
      </c>
      <c r="C183" s="284"/>
      <c r="D183" s="284"/>
      <c r="E183" s="284"/>
      <c r="F183" s="285"/>
      <c r="G183" s="286"/>
      <c r="H183" s="287"/>
      <c r="I183" s="288"/>
      <c r="J183" s="274"/>
    </row>
    <row r="184" spans="1:11" s="259" customFormat="1" ht="24" x14ac:dyDescent="0.55000000000000004">
      <c r="A184" s="270" t="s">
        <v>355</v>
      </c>
      <c r="B184" s="271" t="s">
        <v>459</v>
      </c>
      <c r="C184" s="284"/>
      <c r="D184" s="284"/>
      <c r="E184" s="284"/>
      <c r="F184" s="285"/>
      <c r="G184" s="286"/>
      <c r="H184" s="287">
        <v>500</v>
      </c>
      <c r="I184" s="288"/>
      <c r="J184" s="274"/>
    </row>
    <row r="185" spans="1:11" s="259" customFormat="1" ht="24" x14ac:dyDescent="0.55000000000000004">
      <c r="A185" s="270"/>
      <c r="B185" s="271" t="s">
        <v>460</v>
      </c>
      <c r="C185" s="284"/>
      <c r="D185" s="284"/>
      <c r="E185" s="284"/>
      <c r="F185" s="285"/>
      <c r="G185" s="286"/>
      <c r="H185" s="287"/>
      <c r="I185" s="288"/>
      <c r="J185" s="274"/>
    </row>
    <row r="186" spans="1:11" s="289" customFormat="1" ht="24" x14ac:dyDescent="0.55000000000000004">
      <c r="A186" s="290" t="s">
        <v>357</v>
      </c>
      <c r="B186" s="271" t="s">
        <v>353</v>
      </c>
      <c r="C186" s="271"/>
      <c r="D186" s="271"/>
      <c r="E186" s="271"/>
      <c r="F186" s="272"/>
      <c r="G186" s="286">
        <v>412128</v>
      </c>
      <c r="H186" s="274">
        <v>1000</v>
      </c>
      <c r="I186" s="275">
        <f>50+50</f>
        <v>100</v>
      </c>
      <c r="J186" s="274">
        <v>50</v>
      </c>
    </row>
    <row r="187" spans="1:11" s="289" customFormat="1" ht="24" x14ac:dyDescent="0.55000000000000004">
      <c r="A187" s="290" t="s">
        <v>359</v>
      </c>
      <c r="B187" s="271" t="s">
        <v>461</v>
      </c>
      <c r="C187" s="271"/>
      <c r="D187" s="271"/>
      <c r="E187" s="271"/>
      <c r="F187" s="272"/>
      <c r="G187" s="286"/>
      <c r="H187" s="274">
        <v>500</v>
      </c>
      <c r="I187" s="275"/>
      <c r="J187" s="274"/>
      <c r="K187" s="289">
        <v>1</v>
      </c>
    </row>
    <row r="188" spans="1:11" s="289" customFormat="1" ht="24" x14ac:dyDescent="0.55000000000000004">
      <c r="A188" s="270" t="s">
        <v>361</v>
      </c>
      <c r="B188" s="271" t="s">
        <v>354</v>
      </c>
      <c r="C188" s="271"/>
      <c r="D188" s="271"/>
      <c r="E188" s="271"/>
      <c r="F188" s="272"/>
      <c r="G188" s="286">
        <v>412199</v>
      </c>
      <c r="H188" s="274">
        <v>1500</v>
      </c>
      <c r="I188" s="275"/>
      <c r="J188" s="274"/>
    </row>
    <row r="189" spans="1:11" s="289" customFormat="1" ht="24" x14ac:dyDescent="0.55000000000000004">
      <c r="A189" s="270" t="s">
        <v>363</v>
      </c>
      <c r="B189" s="271" t="s">
        <v>356</v>
      </c>
      <c r="C189" s="271"/>
      <c r="D189" s="271"/>
      <c r="E189" s="271"/>
      <c r="F189" s="272"/>
      <c r="G189" s="286"/>
      <c r="H189" s="274">
        <v>1500</v>
      </c>
      <c r="I189" s="275">
        <f>200+650</f>
        <v>850</v>
      </c>
      <c r="J189" s="274">
        <v>650</v>
      </c>
    </row>
    <row r="190" spans="1:11" s="289" customFormat="1" ht="24" x14ac:dyDescent="0.55000000000000004">
      <c r="A190" s="270" t="s">
        <v>365</v>
      </c>
      <c r="B190" s="271" t="s">
        <v>358</v>
      </c>
      <c r="C190" s="271"/>
      <c r="D190" s="271"/>
      <c r="E190" s="271"/>
      <c r="F190" s="272"/>
      <c r="G190" s="286"/>
      <c r="H190" s="274">
        <v>50000</v>
      </c>
      <c r="I190" s="275"/>
      <c r="J190" s="274"/>
    </row>
    <row r="191" spans="1:11" s="289" customFormat="1" ht="24" x14ac:dyDescent="0.55000000000000004">
      <c r="A191" s="270" t="s">
        <v>367</v>
      </c>
      <c r="B191" s="271" t="s">
        <v>360</v>
      </c>
      <c r="C191" s="271"/>
      <c r="D191" s="271"/>
      <c r="E191" s="271"/>
      <c r="F191" s="272"/>
      <c r="G191" s="286">
        <v>412211</v>
      </c>
      <c r="H191" s="274">
        <v>500</v>
      </c>
      <c r="I191" s="275"/>
      <c r="J191" s="274"/>
    </row>
    <row r="192" spans="1:11" s="291" customFormat="1" ht="24" x14ac:dyDescent="0.55000000000000004">
      <c r="A192" s="270" t="s">
        <v>369</v>
      </c>
      <c r="B192" s="291" t="s">
        <v>362</v>
      </c>
      <c r="F192" s="292"/>
      <c r="G192" s="293">
        <v>412299</v>
      </c>
      <c r="H192" s="294">
        <v>500</v>
      </c>
      <c r="I192" s="295"/>
      <c r="J192" s="294"/>
    </row>
    <row r="193" spans="1:10" s="265" customFormat="1" ht="24" x14ac:dyDescent="0.55000000000000004">
      <c r="A193" s="270" t="s">
        <v>371</v>
      </c>
      <c r="B193" s="291" t="s">
        <v>462</v>
      </c>
      <c r="C193" s="291"/>
      <c r="D193" s="291"/>
      <c r="E193" s="291"/>
      <c r="F193" s="292"/>
      <c r="G193" s="293"/>
      <c r="H193" s="294">
        <v>500</v>
      </c>
      <c r="I193" s="295"/>
      <c r="J193" s="268"/>
    </row>
    <row r="194" spans="1:10" s="289" customFormat="1" ht="24" x14ac:dyDescent="0.55000000000000004">
      <c r="A194" s="270" t="s">
        <v>373</v>
      </c>
      <c r="B194" s="291" t="s">
        <v>364</v>
      </c>
      <c r="C194" s="291"/>
      <c r="D194" s="291"/>
      <c r="E194" s="291"/>
      <c r="F194" s="292"/>
      <c r="G194" s="296">
        <v>412303</v>
      </c>
      <c r="H194" s="294">
        <v>500</v>
      </c>
      <c r="I194" s="295"/>
      <c r="J194" s="268"/>
    </row>
    <row r="195" spans="1:10" s="289" customFormat="1" ht="24" x14ac:dyDescent="0.55000000000000004">
      <c r="A195" s="270" t="s">
        <v>463</v>
      </c>
      <c r="B195" s="271" t="s">
        <v>366</v>
      </c>
      <c r="C195" s="271"/>
      <c r="D195" s="271"/>
      <c r="E195" s="271"/>
      <c r="F195" s="272"/>
      <c r="G195" s="273">
        <v>412304</v>
      </c>
      <c r="H195" s="274">
        <v>500</v>
      </c>
      <c r="I195" s="275"/>
      <c r="J195" s="274"/>
    </row>
    <row r="196" spans="1:10" s="289" customFormat="1" ht="24" x14ac:dyDescent="0.55000000000000004">
      <c r="A196" s="270" t="s">
        <v>464</v>
      </c>
      <c r="B196" s="271" t="s">
        <v>368</v>
      </c>
      <c r="C196" s="271"/>
      <c r="D196" s="271"/>
      <c r="E196" s="271"/>
      <c r="F196" s="272"/>
      <c r="G196" s="273">
        <v>412305</v>
      </c>
      <c r="H196" s="274">
        <v>500</v>
      </c>
      <c r="I196" s="275"/>
      <c r="J196" s="274"/>
    </row>
    <row r="197" spans="1:10" s="289" customFormat="1" ht="24" x14ac:dyDescent="0.55000000000000004">
      <c r="A197" s="270" t="s">
        <v>465</v>
      </c>
      <c r="B197" s="271" t="s">
        <v>370</v>
      </c>
      <c r="C197" s="271"/>
      <c r="D197" s="271"/>
      <c r="E197" s="271"/>
      <c r="F197" s="272"/>
      <c r="G197" s="273">
        <v>412306</v>
      </c>
      <c r="H197" s="276">
        <v>500</v>
      </c>
      <c r="I197" s="277"/>
      <c r="J197" s="274"/>
    </row>
    <row r="198" spans="1:10" s="289" customFormat="1" ht="24" x14ac:dyDescent="0.55000000000000004">
      <c r="A198" s="270" t="s">
        <v>466</v>
      </c>
      <c r="B198" s="271" t="s">
        <v>372</v>
      </c>
      <c r="C198" s="271"/>
      <c r="D198" s="271"/>
      <c r="E198" s="271"/>
      <c r="F198" s="272"/>
      <c r="G198" s="273">
        <v>412307</v>
      </c>
      <c r="H198" s="276">
        <v>2000</v>
      </c>
      <c r="I198" s="277">
        <f>20+20</f>
        <v>40</v>
      </c>
      <c r="J198" s="274">
        <v>20</v>
      </c>
    </row>
    <row r="199" spans="1:10" s="289" customFormat="1" ht="24" x14ac:dyDescent="0.55000000000000004">
      <c r="A199" s="270" t="s">
        <v>467</v>
      </c>
      <c r="B199" s="271" t="s">
        <v>374</v>
      </c>
      <c r="C199" s="271"/>
      <c r="D199" s="271"/>
      <c r="E199" s="271"/>
      <c r="F199" s="272"/>
      <c r="G199" s="273">
        <v>412399</v>
      </c>
      <c r="H199" s="276">
        <v>500</v>
      </c>
      <c r="I199" s="277">
        <v>70</v>
      </c>
      <c r="J199" s="268">
        <v>70</v>
      </c>
    </row>
    <row r="200" spans="1:10" s="289" customFormat="1" ht="24" x14ac:dyDescent="0.55000000000000004">
      <c r="A200" s="305"/>
      <c r="B200" s="306"/>
      <c r="C200" s="306"/>
      <c r="D200" s="306"/>
      <c r="E200" s="847"/>
      <c r="F200" s="848"/>
      <c r="G200" s="396"/>
      <c r="H200" s="299">
        <f>SUM(H178:H199)</f>
        <v>83000</v>
      </c>
      <c r="I200" s="300">
        <f>SUM(I180:I199)</f>
        <v>1376</v>
      </c>
      <c r="J200" s="299">
        <f>SUM(J180:J199)</f>
        <v>814</v>
      </c>
    </row>
    <row r="205" spans="1:10" s="289" customFormat="1" ht="24" x14ac:dyDescent="0.55000000000000004">
      <c r="A205" s="858" t="s">
        <v>455</v>
      </c>
      <c r="B205" s="858"/>
      <c r="C205" s="858"/>
      <c r="D205" s="858"/>
      <c r="E205" s="858"/>
      <c r="F205" s="858"/>
      <c r="G205" s="858"/>
      <c r="H205" s="858"/>
      <c r="I205" s="858"/>
      <c r="J205" s="858"/>
    </row>
    <row r="206" spans="1:10" s="289" customFormat="1" ht="24" x14ac:dyDescent="0.55000000000000004">
      <c r="A206" s="395"/>
      <c r="B206" s="395"/>
      <c r="C206" s="395"/>
      <c r="D206" s="395"/>
      <c r="E206" s="395"/>
      <c r="F206" s="395"/>
      <c r="G206" s="395"/>
      <c r="H206" s="395"/>
      <c r="I206" s="395"/>
      <c r="J206" s="395"/>
    </row>
    <row r="207" spans="1:10" s="259" customFormat="1" ht="24" x14ac:dyDescent="0.55000000000000004">
      <c r="A207" s="855"/>
      <c r="B207" s="856"/>
      <c r="C207" s="856"/>
      <c r="D207" s="856"/>
      <c r="E207" s="856"/>
      <c r="F207" s="857"/>
      <c r="G207" s="260" t="s">
        <v>78</v>
      </c>
      <c r="H207" s="260" t="s">
        <v>6</v>
      </c>
      <c r="I207" s="261" t="s">
        <v>335</v>
      </c>
      <c r="J207" s="262" t="s">
        <v>336</v>
      </c>
    </row>
    <row r="208" spans="1:10" s="289" customFormat="1" ht="24" x14ac:dyDescent="0.55000000000000004">
      <c r="A208" s="301" t="s">
        <v>375</v>
      </c>
      <c r="B208" s="302"/>
      <c r="C208" s="302"/>
      <c r="D208" s="271"/>
      <c r="E208" s="271"/>
      <c r="F208" s="272"/>
      <c r="G208" s="298"/>
      <c r="H208" s="268"/>
      <c r="I208" s="269"/>
      <c r="J208" s="268"/>
    </row>
    <row r="209" spans="1:11" s="289" customFormat="1" ht="24" x14ac:dyDescent="0.55000000000000004">
      <c r="A209" s="270" t="s">
        <v>339</v>
      </c>
      <c r="B209" s="271" t="s">
        <v>376</v>
      </c>
      <c r="C209" s="271"/>
      <c r="D209" s="271"/>
      <c r="E209" s="271"/>
      <c r="F209" s="272"/>
      <c r="G209" s="273">
        <v>413003</v>
      </c>
      <c r="H209" s="276">
        <v>100000</v>
      </c>
      <c r="I209" s="277">
        <v>0</v>
      </c>
      <c r="J209" s="274">
        <v>0</v>
      </c>
    </row>
    <row r="210" spans="1:11" s="259" customFormat="1" ht="24" x14ac:dyDescent="0.55000000000000004">
      <c r="A210" s="270" t="s">
        <v>341</v>
      </c>
      <c r="B210" s="271" t="s">
        <v>377</v>
      </c>
      <c r="C210" s="271"/>
      <c r="D210" s="271"/>
      <c r="E210" s="271"/>
      <c r="F210" s="272"/>
      <c r="G210" s="273">
        <v>413999</v>
      </c>
      <c r="H210" s="276">
        <v>10000</v>
      </c>
      <c r="I210" s="277">
        <v>0</v>
      </c>
      <c r="J210" s="268">
        <v>0</v>
      </c>
    </row>
    <row r="211" spans="1:11" s="259" customFormat="1" ht="24" x14ac:dyDescent="0.55000000000000004">
      <c r="A211" s="270"/>
      <c r="B211" s="271"/>
      <c r="C211" s="271"/>
      <c r="D211" s="271"/>
      <c r="E211" s="271"/>
      <c r="F211" s="272"/>
      <c r="G211" s="273"/>
      <c r="H211" s="299">
        <f>SUM(H209:H210)</f>
        <v>110000</v>
      </c>
      <c r="I211" s="300">
        <f>SUM(I209:I210)</f>
        <v>0</v>
      </c>
      <c r="J211" s="299">
        <f>SUM(J209:J210)</f>
        <v>0</v>
      </c>
    </row>
    <row r="212" spans="1:11" s="289" customFormat="1" ht="24" x14ac:dyDescent="0.55000000000000004">
      <c r="A212" s="301" t="s">
        <v>378</v>
      </c>
      <c r="B212" s="302"/>
      <c r="C212" s="302"/>
      <c r="D212" s="302"/>
      <c r="E212" s="302"/>
      <c r="F212" s="272"/>
      <c r="G212" s="298"/>
      <c r="H212" s="268"/>
      <c r="I212" s="269"/>
      <c r="J212" s="268"/>
    </row>
    <row r="213" spans="1:11" s="289" customFormat="1" ht="24" x14ac:dyDescent="0.55000000000000004">
      <c r="A213" s="270" t="s">
        <v>339</v>
      </c>
      <c r="B213" s="271" t="s">
        <v>21</v>
      </c>
      <c r="C213" s="271"/>
      <c r="D213" s="271"/>
      <c r="E213" s="271"/>
      <c r="F213" s="272"/>
      <c r="G213" s="273">
        <v>414006</v>
      </c>
      <c r="H213" s="274">
        <v>1000000</v>
      </c>
      <c r="I213" s="275">
        <f>41213+40907</f>
        <v>82120</v>
      </c>
      <c r="J213" s="274">
        <v>40907</v>
      </c>
    </row>
    <row r="214" spans="1:11" s="289" customFormat="1" ht="24" x14ac:dyDescent="0.55000000000000004">
      <c r="A214" s="270" t="s">
        <v>341</v>
      </c>
      <c r="B214" s="271" t="s">
        <v>379</v>
      </c>
      <c r="C214" s="271"/>
      <c r="D214" s="271"/>
      <c r="E214" s="271"/>
      <c r="F214" s="272"/>
      <c r="G214" s="273">
        <v>414999</v>
      </c>
      <c r="H214" s="268">
        <v>5000</v>
      </c>
      <c r="I214" s="269">
        <f>200+200</f>
        <v>400</v>
      </c>
      <c r="J214" s="303">
        <v>200</v>
      </c>
    </row>
    <row r="215" spans="1:11" s="289" customFormat="1" ht="24" x14ac:dyDescent="0.55000000000000004">
      <c r="A215" s="391"/>
      <c r="B215" s="392"/>
      <c r="C215" s="392"/>
      <c r="D215" s="392"/>
      <c r="E215" s="859" t="s">
        <v>151</v>
      </c>
      <c r="F215" s="860"/>
      <c r="G215" s="393"/>
      <c r="H215" s="299">
        <f>SUM(H213:H214)</f>
        <v>1005000</v>
      </c>
      <c r="I215" s="300">
        <f>SUM(I213:I214)</f>
        <v>82520</v>
      </c>
      <c r="J215" s="299">
        <f>SUM(J213:J214)</f>
        <v>41107</v>
      </c>
    </row>
    <row r="216" spans="1:11" s="289" customFormat="1" ht="24" x14ac:dyDescent="0.55000000000000004">
      <c r="A216" s="301" t="s">
        <v>380</v>
      </c>
      <c r="B216" s="302"/>
      <c r="C216" s="302"/>
      <c r="D216" s="271"/>
      <c r="E216" s="271"/>
      <c r="F216" s="272"/>
      <c r="G216" s="298"/>
      <c r="H216" s="268"/>
      <c r="I216" s="269"/>
      <c r="J216" s="268"/>
    </row>
    <row r="217" spans="1:11" s="289" customFormat="1" ht="24" x14ac:dyDescent="0.55000000000000004">
      <c r="A217" s="270" t="s">
        <v>339</v>
      </c>
      <c r="B217" s="271" t="s">
        <v>381</v>
      </c>
      <c r="C217" s="271"/>
      <c r="D217" s="271"/>
      <c r="E217" s="271"/>
      <c r="F217" s="272"/>
      <c r="G217" s="273">
        <v>415004</v>
      </c>
      <c r="H217" s="274">
        <v>80000</v>
      </c>
      <c r="I217" s="277">
        <v>3000</v>
      </c>
      <c r="J217" s="274">
        <v>3000</v>
      </c>
      <c r="K217" s="289">
        <v>2</v>
      </c>
    </row>
    <row r="218" spans="1:11" s="289" customFormat="1" ht="24" x14ac:dyDescent="0.55000000000000004">
      <c r="A218" s="270" t="s">
        <v>341</v>
      </c>
      <c r="B218" s="271" t="s">
        <v>382</v>
      </c>
      <c r="C218" s="271"/>
      <c r="D218" s="271"/>
      <c r="E218" s="271"/>
      <c r="F218" s="272"/>
      <c r="G218" s="273">
        <v>415999</v>
      </c>
      <c r="H218" s="276">
        <v>10000</v>
      </c>
      <c r="I218" s="277">
        <v>500</v>
      </c>
      <c r="J218" s="268">
        <v>500</v>
      </c>
    </row>
    <row r="219" spans="1:11" s="289" customFormat="1" ht="24" x14ac:dyDescent="0.55000000000000004">
      <c r="A219" s="270"/>
      <c r="B219" s="271"/>
      <c r="C219" s="271"/>
      <c r="D219" s="271"/>
      <c r="E219" s="271"/>
      <c r="F219" s="272"/>
      <c r="G219" s="273"/>
      <c r="H219" s="299">
        <f>SUM(H217:H218)</f>
        <v>90000</v>
      </c>
      <c r="I219" s="300">
        <f>SUM(I217:I218)</f>
        <v>3500</v>
      </c>
      <c r="J219" s="299">
        <f>SUM(J217:J218)</f>
        <v>3500</v>
      </c>
    </row>
    <row r="220" spans="1:11" s="289" customFormat="1" ht="24" x14ac:dyDescent="0.55000000000000004">
      <c r="A220" s="301" t="s">
        <v>383</v>
      </c>
      <c r="B220" s="302"/>
      <c r="C220" s="302"/>
      <c r="D220" s="271"/>
      <c r="E220" s="271"/>
      <c r="F220" s="272"/>
      <c r="G220" s="298"/>
      <c r="H220" s="268"/>
      <c r="I220" s="269"/>
      <c r="J220" s="268"/>
    </row>
    <row r="221" spans="1:11" s="289" customFormat="1" ht="24" x14ac:dyDescent="0.55000000000000004">
      <c r="A221" s="270" t="s">
        <v>339</v>
      </c>
      <c r="B221" s="271" t="s">
        <v>384</v>
      </c>
      <c r="C221" s="271"/>
      <c r="D221" s="271"/>
      <c r="E221" s="271"/>
      <c r="F221" s="272"/>
      <c r="G221" s="273">
        <v>416001</v>
      </c>
      <c r="H221" s="274">
        <v>2000</v>
      </c>
      <c r="I221" s="277">
        <v>0</v>
      </c>
      <c r="J221" s="274">
        <v>0</v>
      </c>
    </row>
    <row r="222" spans="1:11" s="289" customFormat="1" ht="24" x14ac:dyDescent="0.55000000000000004">
      <c r="A222" s="270" t="s">
        <v>341</v>
      </c>
      <c r="B222" s="271" t="s">
        <v>385</v>
      </c>
      <c r="C222" s="271"/>
      <c r="D222" s="271"/>
      <c r="E222" s="271"/>
      <c r="F222" s="272"/>
      <c r="G222" s="273">
        <v>416999</v>
      </c>
      <c r="H222" s="276">
        <v>0</v>
      </c>
      <c r="I222" s="277">
        <v>0</v>
      </c>
      <c r="J222" s="268">
        <v>0</v>
      </c>
    </row>
    <row r="223" spans="1:11" s="289" customFormat="1" ht="24" x14ac:dyDescent="0.55000000000000004">
      <c r="A223" s="270"/>
      <c r="B223" s="271"/>
      <c r="C223" s="271"/>
      <c r="D223" s="271"/>
      <c r="E223" s="271"/>
      <c r="F223" s="272"/>
      <c r="G223" s="273"/>
      <c r="H223" s="299">
        <f>SUM(H221:H222)</f>
        <v>2000</v>
      </c>
      <c r="I223" s="300">
        <f>SUM(I221:I222)</f>
        <v>0</v>
      </c>
      <c r="J223" s="299">
        <f>SUM(J221:J222)</f>
        <v>0</v>
      </c>
    </row>
    <row r="224" spans="1:11" s="289" customFormat="1" ht="24" x14ac:dyDescent="0.55000000000000004">
      <c r="A224" s="304" t="s">
        <v>386</v>
      </c>
      <c r="B224" s="271"/>
      <c r="C224" s="271"/>
      <c r="D224" s="271"/>
      <c r="E224" s="271"/>
      <c r="F224" s="272"/>
      <c r="G224" s="273"/>
      <c r="H224" s="268"/>
      <c r="I224" s="269"/>
      <c r="J224" s="268"/>
    </row>
    <row r="225" spans="1:10" s="259" customFormat="1" ht="24" x14ac:dyDescent="0.55000000000000004">
      <c r="A225" s="270" t="s">
        <v>339</v>
      </c>
      <c r="B225" s="271" t="s">
        <v>387</v>
      </c>
      <c r="C225" s="271"/>
      <c r="D225" s="271"/>
      <c r="E225" s="271"/>
      <c r="F225" s="272"/>
      <c r="G225" s="273">
        <v>421002</v>
      </c>
      <c r="H225" s="274">
        <v>7000000</v>
      </c>
      <c r="I225" s="274">
        <f>576013.89+578421.62</f>
        <v>1154435.51</v>
      </c>
      <c r="J225" s="274">
        <v>578421.62</v>
      </c>
    </row>
    <row r="226" spans="1:10" s="259" customFormat="1" ht="24" x14ac:dyDescent="0.55000000000000004">
      <c r="A226" s="270" t="s">
        <v>341</v>
      </c>
      <c r="B226" s="271" t="s">
        <v>388</v>
      </c>
      <c r="C226" s="271"/>
      <c r="D226" s="271"/>
      <c r="E226" s="271"/>
      <c r="F226" s="272"/>
      <c r="G226" s="273">
        <v>421004</v>
      </c>
      <c r="H226" s="274">
        <v>1500000</v>
      </c>
      <c r="I226" s="274">
        <f>113953.78+131505.43</f>
        <v>245459.21</v>
      </c>
      <c r="J226" s="274">
        <v>131505.43</v>
      </c>
    </row>
    <row r="227" spans="1:10" s="259" customFormat="1" ht="24" x14ac:dyDescent="0.55000000000000004">
      <c r="A227" s="270" t="s">
        <v>343</v>
      </c>
      <c r="B227" s="271" t="s">
        <v>389</v>
      </c>
      <c r="C227" s="271"/>
      <c r="D227" s="271"/>
      <c r="E227" s="271"/>
      <c r="F227" s="272"/>
      <c r="G227" s="273">
        <v>421005</v>
      </c>
      <c r="H227" s="274">
        <v>100000</v>
      </c>
      <c r="I227" s="274"/>
      <c r="J227" s="274"/>
    </row>
    <row r="228" spans="1:10" s="259" customFormat="1" ht="24" x14ac:dyDescent="0.55000000000000004">
      <c r="A228" s="270" t="s">
        <v>345</v>
      </c>
      <c r="B228" s="271" t="s">
        <v>390</v>
      </c>
      <c r="C228" s="271"/>
      <c r="D228" s="271"/>
      <c r="E228" s="271"/>
      <c r="F228" s="272"/>
      <c r="G228" s="273">
        <v>421006</v>
      </c>
      <c r="H228" s="274">
        <v>700000</v>
      </c>
      <c r="I228" s="274">
        <f>47274.97+53800.47</f>
        <v>101075.44</v>
      </c>
      <c r="J228" s="274">
        <v>53800.47</v>
      </c>
    </row>
    <row r="229" spans="1:10" s="259" customFormat="1" ht="24" x14ac:dyDescent="0.55000000000000004">
      <c r="A229" s="270" t="s">
        <v>347</v>
      </c>
      <c r="B229" s="271" t="s">
        <v>391</v>
      </c>
      <c r="C229" s="271"/>
      <c r="D229" s="271"/>
      <c r="E229" s="271"/>
      <c r="F229" s="272"/>
      <c r="G229" s="273">
        <v>421007</v>
      </c>
      <c r="H229" s="274">
        <v>1000000</v>
      </c>
      <c r="I229" s="275">
        <f>102069.72+113369.21</f>
        <v>215438.93</v>
      </c>
      <c r="J229" s="274">
        <v>113369.21</v>
      </c>
    </row>
    <row r="230" spans="1:10" s="259" customFormat="1" ht="24" x14ac:dyDescent="0.55000000000000004">
      <c r="A230" s="270" t="s">
        <v>355</v>
      </c>
      <c r="B230" s="271" t="s">
        <v>468</v>
      </c>
      <c r="C230" s="271"/>
      <c r="D230" s="271"/>
      <c r="E230" s="271"/>
      <c r="F230" s="272"/>
      <c r="G230" s="273">
        <v>421011</v>
      </c>
      <c r="H230" s="274">
        <v>10000</v>
      </c>
      <c r="I230" s="275"/>
      <c r="J230" s="274"/>
    </row>
    <row r="231" spans="1:10" s="259" customFormat="1" ht="24" x14ac:dyDescent="0.55000000000000004">
      <c r="A231" s="290" t="s">
        <v>357</v>
      </c>
      <c r="B231" s="259" t="s">
        <v>392</v>
      </c>
      <c r="G231" s="273">
        <v>421012</v>
      </c>
      <c r="H231" s="274">
        <v>30000</v>
      </c>
      <c r="I231" s="275"/>
      <c r="J231" s="274"/>
    </row>
    <row r="232" spans="1:10" s="259" customFormat="1" ht="24" x14ac:dyDescent="0.55000000000000004">
      <c r="A232" s="290" t="s">
        <v>359</v>
      </c>
      <c r="B232" s="271" t="s">
        <v>393</v>
      </c>
      <c r="C232" s="271"/>
      <c r="D232" s="271"/>
      <c r="E232" s="271"/>
      <c r="F232" s="272"/>
      <c r="G232" s="273">
        <v>421013</v>
      </c>
      <c r="H232" s="274">
        <v>40000</v>
      </c>
      <c r="I232" s="275">
        <v>7014.11</v>
      </c>
      <c r="J232" s="274"/>
    </row>
    <row r="233" spans="1:10" s="259" customFormat="1" ht="24" x14ac:dyDescent="0.55000000000000004">
      <c r="A233" s="270" t="s">
        <v>361</v>
      </c>
      <c r="B233" s="271" t="s">
        <v>394</v>
      </c>
      <c r="C233" s="271"/>
      <c r="D233" s="271"/>
      <c r="E233" s="271"/>
      <c r="F233" s="272"/>
      <c r="G233" s="273">
        <v>421015</v>
      </c>
      <c r="H233" s="274">
        <v>1000000</v>
      </c>
      <c r="I233" s="275">
        <v>110381.75</v>
      </c>
      <c r="J233" s="274"/>
    </row>
    <row r="234" spans="1:10" s="259" customFormat="1" ht="24" x14ac:dyDescent="0.55000000000000004">
      <c r="A234" s="270" t="s">
        <v>363</v>
      </c>
      <c r="B234" s="271" t="s">
        <v>395</v>
      </c>
      <c r="C234" s="271"/>
      <c r="D234" s="271"/>
      <c r="E234" s="271"/>
      <c r="F234" s="272"/>
      <c r="G234" s="273">
        <v>421999</v>
      </c>
      <c r="H234" s="274">
        <v>10000</v>
      </c>
      <c r="I234" s="275"/>
      <c r="J234" s="274"/>
    </row>
    <row r="235" spans="1:10" s="259" customFormat="1" ht="24" x14ac:dyDescent="0.55000000000000004">
      <c r="A235" s="270" t="s">
        <v>365</v>
      </c>
      <c r="B235" s="271" t="s">
        <v>505</v>
      </c>
      <c r="C235" s="271"/>
      <c r="D235" s="271"/>
      <c r="E235" s="271"/>
      <c r="F235" s="272"/>
      <c r="G235" s="273"/>
      <c r="H235" s="268">
        <v>500000</v>
      </c>
      <c r="I235" s="269"/>
      <c r="J235" s="268"/>
    </row>
    <row r="236" spans="1:10" s="289" customFormat="1" ht="24" x14ac:dyDescent="0.55000000000000004">
      <c r="A236" s="297"/>
      <c r="B236" s="271"/>
      <c r="C236" s="271"/>
      <c r="D236" s="271"/>
      <c r="E236" s="861" t="s">
        <v>151</v>
      </c>
      <c r="F236" s="862"/>
      <c r="G236" s="298"/>
      <c r="H236" s="299">
        <f>SUM(H225:H235)</f>
        <v>11890000</v>
      </c>
      <c r="I236" s="300">
        <f>SUM(I225:I235)</f>
        <v>1833804.95</v>
      </c>
      <c r="J236" s="299">
        <f>SUM(J225:J235)</f>
        <v>877096.73</v>
      </c>
    </row>
    <row r="237" spans="1:10" s="289" customFormat="1" ht="24" x14ac:dyDescent="0.55000000000000004">
      <c r="A237" s="305"/>
      <c r="B237" s="306"/>
      <c r="C237" s="306"/>
      <c r="D237" s="306"/>
      <c r="E237" s="847"/>
      <c r="F237" s="848"/>
      <c r="G237" s="307"/>
      <c r="H237" s="299"/>
      <c r="I237" s="299"/>
      <c r="J237" s="299"/>
    </row>
    <row r="239" spans="1:10" s="289" customFormat="1" ht="24" x14ac:dyDescent="0.55000000000000004">
      <c r="A239" s="849"/>
      <c r="B239" s="849"/>
      <c r="C239" s="849"/>
      <c r="D239" s="849"/>
      <c r="G239" s="265"/>
      <c r="H239" s="258"/>
      <c r="I239" s="258"/>
      <c r="J239" s="258"/>
    </row>
    <row r="240" spans="1:10" s="289" customFormat="1" ht="24" x14ac:dyDescent="0.55000000000000004">
      <c r="A240" s="430"/>
      <c r="B240" s="430"/>
      <c r="C240" s="430"/>
      <c r="D240" s="430"/>
      <c r="H240" s="258"/>
      <c r="I240" s="258"/>
      <c r="J240" s="258"/>
    </row>
    <row r="241" spans="1:11" s="289" customFormat="1" ht="24" x14ac:dyDescent="0.55000000000000004">
      <c r="A241" s="430"/>
      <c r="B241" s="430"/>
      <c r="C241" s="430"/>
      <c r="D241" s="430"/>
      <c r="H241" s="258"/>
      <c r="I241" s="258"/>
      <c r="J241" s="258"/>
    </row>
    <row r="242" spans="1:11" s="289" customFormat="1" ht="24" x14ac:dyDescent="0.55000000000000004">
      <c r="A242" s="430"/>
      <c r="B242" s="430"/>
      <c r="C242" s="430"/>
      <c r="D242" s="430"/>
      <c r="H242" s="258"/>
      <c r="I242" s="258"/>
      <c r="J242" s="258"/>
    </row>
    <row r="243" spans="1:11" s="289" customFormat="1" ht="24" x14ac:dyDescent="0.55000000000000004">
      <c r="A243" s="430"/>
      <c r="B243" s="430"/>
      <c r="C243" s="430"/>
      <c r="D243" s="430"/>
      <c r="H243" s="258"/>
      <c r="I243" s="258"/>
      <c r="J243" s="258"/>
    </row>
    <row r="244" spans="1:11" s="289" customFormat="1" ht="24" x14ac:dyDescent="0.55000000000000004">
      <c r="A244" s="430"/>
      <c r="B244" s="430"/>
      <c r="C244" s="430"/>
      <c r="D244" s="430"/>
      <c r="H244" s="258"/>
      <c r="I244" s="258"/>
      <c r="J244" s="258"/>
    </row>
    <row r="245" spans="1:11" s="289" customFormat="1" ht="24" x14ac:dyDescent="0.55000000000000004">
      <c r="A245" s="430"/>
      <c r="B245" s="430"/>
      <c r="C245" s="430"/>
      <c r="D245" s="430"/>
      <c r="F245" s="430" t="s">
        <v>491</v>
      </c>
      <c r="H245" s="258"/>
      <c r="I245" s="258"/>
      <c r="J245" s="258"/>
    </row>
    <row r="246" spans="1:11" s="289" customFormat="1" ht="24" x14ac:dyDescent="0.55000000000000004">
      <c r="A246" s="430"/>
      <c r="B246" s="430"/>
      <c r="C246" s="430"/>
      <c r="D246" s="430"/>
      <c r="F246" s="430"/>
      <c r="H246" s="258"/>
      <c r="I246" s="258"/>
      <c r="J246" s="258"/>
    </row>
    <row r="247" spans="1:11" s="289" customFormat="1" ht="24" x14ac:dyDescent="0.55000000000000004">
      <c r="A247" s="850"/>
      <c r="B247" s="851"/>
      <c r="C247" s="851"/>
      <c r="D247" s="851"/>
      <c r="E247" s="851"/>
      <c r="F247" s="852"/>
      <c r="G247" s="411" t="s">
        <v>78</v>
      </c>
      <c r="H247" s="411" t="s">
        <v>6</v>
      </c>
      <c r="I247" s="261" t="s">
        <v>335</v>
      </c>
      <c r="J247" s="412" t="s">
        <v>336</v>
      </c>
    </row>
    <row r="248" spans="1:11" s="289" customFormat="1" ht="24" x14ac:dyDescent="0.55000000000000004">
      <c r="A248" s="301" t="s">
        <v>396</v>
      </c>
      <c r="B248" s="302"/>
      <c r="C248" s="271"/>
      <c r="D248" s="271"/>
      <c r="E248" s="271"/>
      <c r="F248" s="272"/>
      <c r="G248" s="298"/>
      <c r="H248" s="268"/>
      <c r="I248" s="269"/>
      <c r="J248" s="268"/>
    </row>
    <row r="249" spans="1:11" s="289" customFormat="1" ht="24" x14ac:dyDescent="0.55000000000000004">
      <c r="A249" s="270" t="s">
        <v>339</v>
      </c>
      <c r="B249" s="271" t="s">
        <v>469</v>
      </c>
      <c r="C249" s="271"/>
      <c r="D249" s="271"/>
      <c r="E249" s="271"/>
      <c r="F249" s="272"/>
      <c r="G249" s="273">
        <v>431002</v>
      </c>
      <c r="H249" s="274">
        <v>4750000</v>
      </c>
      <c r="I249" s="275">
        <v>976141</v>
      </c>
      <c r="J249" s="274">
        <v>976141</v>
      </c>
    </row>
    <row r="250" spans="1:11" s="289" customFormat="1" ht="24" x14ac:dyDescent="0.55000000000000004">
      <c r="A250" s="397"/>
      <c r="B250" s="271" t="s">
        <v>470</v>
      </c>
      <c r="C250" s="271"/>
      <c r="D250" s="271"/>
      <c r="E250" s="392"/>
      <c r="F250" s="398"/>
      <c r="G250" s="298"/>
      <c r="H250" s="402"/>
      <c r="I250" s="402"/>
      <c r="J250" s="402"/>
    </row>
    <row r="251" spans="1:11" s="289" customFormat="1" ht="24" x14ac:dyDescent="0.55000000000000004">
      <c r="A251" s="397"/>
      <c r="B251" s="271" t="s">
        <v>483</v>
      </c>
      <c r="C251" s="271"/>
      <c r="D251" s="392"/>
      <c r="E251" s="392"/>
      <c r="F251" s="398"/>
      <c r="G251" s="298"/>
      <c r="H251" s="402"/>
      <c r="I251" s="407">
        <v>69514</v>
      </c>
      <c r="J251" s="407">
        <v>69514</v>
      </c>
    </row>
    <row r="252" spans="1:11" s="289" customFormat="1" ht="24" x14ac:dyDescent="0.55000000000000004">
      <c r="A252" s="397"/>
      <c r="B252" s="271" t="s">
        <v>481</v>
      </c>
      <c r="C252" s="271"/>
      <c r="D252" s="392"/>
      <c r="E252" s="392"/>
      <c r="F252" s="398"/>
      <c r="G252" s="298"/>
      <c r="H252" s="402"/>
      <c r="I252" s="407">
        <v>244000</v>
      </c>
      <c r="J252" s="407">
        <v>244000</v>
      </c>
    </row>
    <row r="253" spans="1:11" s="289" customFormat="1" ht="24" x14ac:dyDescent="0.55000000000000004">
      <c r="A253" s="397"/>
      <c r="B253" s="271" t="s">
        <v>487</v>
      </c>
      <c r="C253" s="271"/>
      <c r="D253" s="271"/>
      <c r="E253" s="271"/>
      <c r="F253" s="272"/>
      <c r="G253" s="298"/>
      <c r="H253" s="274"/>
      <c r="I253" s="275">
        <v>8000</v>
      </c>
      <c r="J253" s="274">
        <v>8000</v>
      </c>
    </row>
    <row r="254" spans="1:11" s="289" customFormat="1" ht="24" x14ac:dyDescent="0.55000000000000004">
      <c r="A254" s="397"/>
      <c r="B254" s="291" t="s">
        <v>486</v>
      </c>
      <c r="C254" s="291"/>
      <c r="D254" s="291"/>
      <c r="E254" s="265"/>
      <c r="F254" s="266"/>
      <c r="G254" s="402"/>
      <c r="H254" s="274"/>
      <c r="I254" s="275">
        <v>52500</v>
      </c>
      <c r="J254" s="274">
        <v>52500</v>
      </c>
    </row>
    <row r="255" spans="1:11" s="289" customFormat="1" ht="24" x14ac:dyDescent="0.55000000000000004">
      <c r="A255" s="397"/>
      <c r="B255" s="271" t="s">
        <v>482</v>
      </c>
      <c r="C255" s="271"/>
      <c r="D255" s="271"/>
      <c r="E255" s="392"/>
      <c r="F255" s="398"/>
      <c r="G255" s="402"/>
      <c r="H255" s="274"/>
      <c r="I255" s="275">
        <v>7500</v>
      </c>
      <c r="J255" s="274">
        <v>7500</v>
      </c>
      <c r="K255" s="289">
        <v>3</v>
      </c>
    </row>
    <row r="256" spans="1:11" s="289" customFormat="1" ht="24" x14ac:dyDescent="0.55000000000000004">
      <c r="A256" s="397"/>
      <c r="B256" s="392"/>
      <c r="C256" s="392"/>
      <c r="D256" s="392"/>
      <c r="E256" s="392"/>
      <c r="F256" s="398"/>
      <c r="G256" s="402"/>
      <c r="H256" s="274"/>
      <c r="I256" s="275"/>
      <c r="J256" s="274"/>
    </row>
    <row r="257" spans="1:10" s="289" customFormat="1" ht="24" x14ac:dyDescent="0.55000000000000004">
      <c r="A257" s="397"/>
      <c r="B257" s="392"/>
      <c r="C257" s="392"/>
      <c r="D257" s="392"/>
      <c r="E257" s="392"/>
      <c r="F257" s="398"/>
      <c r="G257" s="402"/>
      <c r="H257" s="274"/>
      <c r="I257" s="275"/>
      <c r="J257" s="274"/>
    </row>
    <row r="258" spans="1:10" s="289" customFormat="1" ht="24" x14ac:dyDescent="0.55000000000000004">
      <c r="A258" s="397"/>
      <c r="B258" s="392"/>
      <c r="C258" s="392"/>
      <c r="D258" s="392"/>
      <c r="E258" s="392"/>
      <c r="F258" s="398"/>
      <c r="G258" s="402"/>
      <c r="H258" s="303"/>
      <c r="I258" s="399"/>
      <c r="J258" s="303"/>
    </row>
    <row r="259" spans="1:10" s="289" customFormat="1" ht="24" x14ac:dyDescent="0.55000000000000004">
      <c r="A259" s="305"/>
      <c r="B259" s="306"/>
      <c r="C259" s="306"/>
      <c r="D259" s="306"/>
      <c r="E259" s="847" t="s">
        <v>151</v>
      </c>
      <c r="F259" s="848"/>
      <c r="G259" s="307"/>
      <c r="H259" s="299">
        <f>SUM(H249)</f>
        <v>4750000</v>
      </c>
      <c r="I259" s="299">
        <f>SUM(I249:I258)</f>
        <v>1357655</v>
      </c>
      <c r="J259" s="299">
        <f>SUM(J249:J258)</f>
        <v>1357655</v>
      </c>
    </row>
    <row r="260" spans="1:10" s="289" customFormat="1" ht="24.75" thickBot="1" x14ac:dyDescent="0.6">
      <c r="A260" s="265"/>
      <c r="B260" s="265"/>
      <c r="C260" s="265"/>
      <c r="D260" s="265"/>
      <c r="E260" s="308"/>
      <c r="F260" s="308" t="s">
        <v>397</v>
      </c>
      <c r="G260" s="265"/>
      <c r="H260" s="309">
        <f>+H176+H200+H211+H215+H219+H223+H236+H259</f>
        <v>22000000</v>
      </c>
      <c r="I260" s="309">
        <f>+I176+I200+I211+I215+I219+I223+I236+I259</f>
        <v>3303707.27</v>
      </c>
      <c r="J260" s="309">
        <f t="shared" ref="J260" si="0">+J176+J200+J211+J215+J219+J223+J236+J259</f>
        <v>2305024.0499999998</v>
      </c>
    </row>
    <row r="261" spans="1:10" ht="15" thickTop="1" x14ac:dyDescent="0.2"/>
    <row r="276" spans="1:10" s="289" customFormat="1" ht="24" x14ac:dyDescent="0.55000000000000004">
      <c r="A276" s="430"/>
      <c r="B276" s="430"/>
      <c r="C276" s="430"/>
      <c r="D276" s="430"/>
      <c r="E276" s="430"/>
      <c r="F276" s="390"/>
      <c r="G276" s="390"/>
      <c r="H276" s="390"/>
      <c r="I276" s="390"/>
      <c r="J276" s="258"/>
    </row>
    <row r="277" spans="1:10" s="289" customFormat="1" ht="24" x14ac:dyDescent="0.55000000000000004">
      <c r="A277" s="849"/>
      <c r="B277" s="849"/>
      <c r="C277" s="849"/>
      <c r="D277" s="849"/>
      <c r="E277" s="430"/>
      <c r="F277" s="390"/>
      <c r="G277" s="390"/>
      <c r="H277" s="390"/>
      <c r="I277" s="390"/>
      <c r="J277" s="258"/>
    </row>
    <row r="278" spans="1:10" s="312" customFormat="1" ht="24" x14ac:dyDescent="0.55000000000000004">
      <c r="A278" s="289"/>
      <c r="B278" s="289"/>
      <c r="C278" s="258"/>
      <c r="H278" s="313"/>
      <c r="I278" s="313"/>
      <c r="J278" s="313"/>
    </row>
    <row r="279" spans="1:10" s="289" customFormat="1" ht="24" x14ac:dyDescent="0.55000000000000004"/>
    <row r="280" spans="1:10" s="289" customFormat="1" ht="24" x14ac:dyDescent="0.55000000000000004"/>
    <row r="281" spans="1:10" s="312" customFormat="1" ht="24" x14ac:dyDescent="0.55000000000000004"/>
    <row r="282" spans="1:10" s="312" customFormat="1" ht="24" x14ac:dyDescent="0.55000000000000004">
      <c r="H282" s="313"/>
      <c r="I282" s="313"/>
      <c r="J282" s="313"/>
    </row>
    <row r="283" spans="1:10" s="312" customFormat="1" ht="24" x14ac:dyDescent="0.55000000000000004">
      <c r="H283" s="313"/>
      <c r="I283" s="313"/>
      <c r="J283" s="313"/>
    </row>
    <row r="284" spans="1:10" s="312" customFormat="1" ht="24" x14ac:dyDescent="0.55000000000000004">
      <c r="H284" s="313"/>
      <c r="I284" s="313"/>
      <c r="J284" s="313"/>
    </row>
    <row r="285" spans="1:10" s="312" customFormat="1" ht="24" x14ac:dyDescent="0.55000000000000004">
      <c r="H285" s="313"/>
      <c r="I285" s="313"/>
      <c r="J285" s="313"/>
    </row>
    <row r="286" spans="1:10" s="312" customFormat="1" ht="24" x14ac:dyDescent="0.55000000000000004">
      <c r="H286" s="313"/>
      <c r="I286" s="313"/>
      <c r="J286" s="313"/>
    </row>
    <row r="287" spans="1:10" s="312" customFormat="1" ht="24" x14ac:dyDescent="0.55000000000000004">
      <c r="H287" s="313"/>
      <c r="I287" s="313"/>
      <c r="J287" s="313"/>
    </row>
    <row r="288" spans="1:10" x14ac:dyDescent="0.2">
      <c r="F288" s="431" t="s">
        <v>492</v>
      </c>
    </row>
    <row r="290" spans="1:10" ht="24" x14ac:dyDescent="0.55000000000000004">
      <c r="A290" s="850"/>
      <c r="B290" s="851"/>
      <c r="C290" s="851"/>
      <c r="D290" s="851"/>
      <c r="E290" s="851"/>
      <c r="F290" s="852"/>
      <c r="G290" s="411" t="s">
        <v>78</v>
      </c>
      <c r="H290" s="411" t="s">
        <v>6</v>
      </c>
      <c r="I290" s="261" t="s">
        <v>335</v>
      </c>
      <c r="J290" s="412" t="s">
        <v>336</v>
      </c>
    </row>
    <row r="291" spans="1:10" ht="24" x14ac:dyDescent="0.55000000000000004">
      <c r="A291" s="405" t="s">
        <v>477</v>
      </c>
      <c r="B291" s="406"/>
      <c r="C291" s="291"/>
      <c r="D291" s="291"/>
      <c r="E291" s="291"/>
      <c r="F291" s="292"/>
      <c r="G291" s="402"/>
      <c r="H291" s="268"/>
      <c r="I291" s="269"/>
      <c r="J291" s="268"/>
    </row>
    <row r="292" spans="1:10" ht="24" x14ac:dyDescent="0.55000000000000004">
      <c r="A292" s="270" t="s">
        <v>339</v>
      </c>
      <c r="B292" s="271" t="s">
        <v>476</v>
      </c>
      <c r="C292" s="271"/>
      <c r="D292" s="271"/>
      <c r="E292" s="271"/>
      <c r="F292" s="272"/>
      <c r="G292" s="273"/>
      <c r="H292" s="274"/>
      <c r="I292" s="275"/>
      <c r="J292" s="274"/>
    </row>
    <row r="293" spans="1:10" ht="24" x14ac:dyDescent="0.55000000000000004">
      <c r="A293" s="270"/>
      <c r="B293" s="271" t="s">
        <v>484</v>
      </c>
      <c r="C293" s="271"/>
      <c r="D293" s="271"/>
      <c r="E293" s="271"/>
      <c r="F293" s="272"/>
      <c r="G293" s="273"/>
      <c r="H293" s="274"/>
      <c r="I293" s="275">
        <v>1011900</v>
      </c>
      <c r="J293" s="274">
        <v>1011900</v>
      </c>
    </row>
    <row r="294" spans="1:10" ht="24" x14ac:dyDescent="0.55000000000000004">
      <c r="A294" s="270"/>
      <c r="B294" s="271" t="s">
        <v>485</v>
      </c>
      <c r="C294" s="271"/>
      <c r="D294" s="271"/>
      <c r="E294" s="271"/>
      <c r="F294" s="272"/>
      <c r="G294" s="273"/>
      <c r="H294" s="274"/>
      <c r="I294" s="275">
        <v>1368000</v>
      </c>
      <c r="J294" s="274">
        <v>136800</v>
      </c>
    </row>
    <row r="295" spans="1:10" ht="24" x14ac:dyDescent="0.55000000000000004">
      <c r="A295" s="270"/>
      <c r="B295" s="302" t="s">
        <v>488</v>
      </c>
      <c r="C295" s="302"/>
      <c r="D295" s="302"/>
      <c r="E295" s="271"/>
      <c r="F295" s="272"/>
      <c r="G295" s="273"/>
      <c r="H295" s="274"/>
      <c r="I295" s="275"/>
      <c r="J295" s="274"/>
    </row>
    <row r="296" spans="1:10" ht="24" x14ac:dyDescent="0.55000000000000004">
      <c r="A296" s="270"/>
      <c r="B296" s="271" t="s">
        <v>478</v>
      </c>
      <c r="C296" s="271"/>
      <c r="D296" s="271"/>
      <c r="E296" s="271"/>
      <c r="F296" s="272"/>
      <c r="G296" s="273"/>
      <c r="H296" s="274"/>
      <c r="I296" s="275">
        <v>50400</v>
      </c>
      <c r="J296" s="274">
        <v>50400</v>
      </c>
    </row>
    <row r="297" spans="1:10" ht="24" x14ac:dyDescent="0.55000000000000004">
      <c r="A297" s="270"/>
      <c r="B297" s="271" t="s">
        <v>479</v>
      </c>
      <c r="C297" s="271"/>
      <c r="D297" s="271"/>
      <c r="E297" s="271"/>
      <c r="F297" s="272"/>
      <c r="G297" s="273"/>
      <c r="H297" s="274"/>
      <c r="I297" s="275">
        <v>118290</v>
      </c>
      <c r="J297" s="274">
        <v>118290</v>
      </c>
    </row>
    <row r="298" spans="1:10" ht="24" x14ac:dyDescent="0.55000000000000004">
      <c r="A298" s="270"/>
      <c r="B298" s="271" t="s">
        <v>522</v>
      </c>
      <c r="C298" s="271"/>
      <c r="D298" s="271"/>
      <c r="E298" s="271"/>
      <c r="F298" s="272"/>
      <c r="G298" s="273"/>
      <c r="H298" s="274"/>
      <c r="I298" s="275">
        <f>21800+68400</f>
        <v>90200</v>
      </c>
      <c r="J298" s="274">
        <v>68400</v>
      </c>
    </row>
    <row r="299" spans="1:10" ht="24" x14ac:dyDescent="0.55000000000000004">
      <c r="A299" s="270"/>
      <c r="B299" s="271" t="s">
        <v>521</v>
      </c>
      <c r="C299" s="271"/>
      <c r="D299" s="271"/>
      <c r="E299" s="271"/>
      <c r="F299" s="272"/>
      <c r="G299" s="273"/>
      <c r="H299" s="274"/>
      <c r="I299" s="275">
        <f>1090+3420</f>
        <v>4510</v>
      </c>
      <c r="J299" s="274">
        <v>3420</v>
      </c>
    </row>
    <row r="300" spans="1:10" ht="24" x14ac:dyDescent="0.55000000000000004">
      <c r="A300" s="270"/>
      <c r="B300" s="271" t="s">
        <v>489</v>
      </c>
      <c r="C300" s="271"/>
      <c r="D300" s="271"/>
      <c r="E300" s="271"/>
      <c r="F300" s="272"/>
      <c r="G300" s="273"/>
      <c r="H300" s="274"/>
      <c r="I300" s="275"/>
      <c r="J300" s="274"/>
    </row>
    <row r="301" spans="1:10" ht="24" x14ac:dyDescent="0.55000000000000004">
      <c r="A301" s="270"/>
      <c r="B301" s="271" t="s">
        <v>490</v>
      </c>
      <c r="C301" s="271"/>
      <c r="D301" s="271"/>
      <c r="E301" s="271"/>
      <c r="F301" s="272"/>
      <c r="G301" s="273"/>
      <c r="H301" s="274"/>
      <c r="I301" s="275"/>
      <c r="J301" s="274"/>
    </row>
    <row r="302" spans="1:10" ht="24" x14ac:dyDescent="0.55000000000000004">
      <c r="A302" s="270"/>
      <c r="B302" s="271"/>
      <c r="C302" s="271"/>
      <c r="D302" s="271"/>
      <c r="E302" s="271"/>
      <c r="F302" s="272"/>
      <c r="G302" s="273"/>
      <c r="H302" s="274"/>
      <c r="I302" s="275"/>
      <c r="J302" s="274"/>
    </row>
    <row r="303" spans="1:10" ht="24" x14ac:dyDescent="0.55000000000000004">
      <c r="A303" s="270"/>
      <c r="B303" s="410"/>
      <c r="C303" s="404"/>
      <c r="D303" s="271"/>
      <c r="E303" s="271"/>
      <c r="F303" s="272"/>
      <c r="G303" s="273"/>
      <c r="H303" s="274"/>
      <c r="I303" s="275"/>
      <c r="J303" s="274"/>
    </row>
    <row r="304" spans="1:10" ht="24" x14ac:dyDescent="0.55000000000000004">
      <c r="A304" s="270"/>
      <c r="B304" s="271"/>
      <c r="C304" s="271"/>
      <c r="D304" s="271"/>
      <c r="E304" s="271"/>
      <c r="F304" s="272"/>
      <c r="G304" s="273"/>
      <c r="H304" s="274"/>
      <c r="I304" s="275"/>
      <c r="J304" s="274"/>
    </row>
    <row r="305" spans="1:10" ht="24" x14ac:dyDescent="0.55000000000000004">
      <c r="A305" s="270"/>
      <c r="B305" s="271"/>
      <c r="C305" s="271"/>
      <c r="D305" s="271"/>
      <c r="E305" s="271"/>
      <c r="F305" s="272"/>
      <c r="G305" s="273"/>
      <c r="H305" s="274"/>
      <c r="I305" s="275"/>
      <c r="J305" s="274"/>
    </row>
    <row r="306" spans="1:10" ht="24" x14ac:dyDescent="0.55000000000000004">
      <c r="A306" s="305"/>
      <c r="B306" s="306"/>
      <c r="C306" s="306"/>
      <c r="D306" s="306"/>
      <c r="E306" s="847" t="s">
        <v>151</v>
      </c>
      <c r="F306" s="848"/>
      <c r="G306" s="307"/>
      <c r="H306" s="299">
        <f>SUM(H293:H305)</f>
        <v>0</v>
      </c>
      <c r="I306" s="299">
        <f>SUM(I293:I305)</f>
        <v>2643300</v>
      </c>
      <c r="J306" s="299">
        <f>SUM(J291:J305)</f>
        <v>1389210</v>
      </c>
    </row>
    <row r="307" spans="1:10" ht="24.75" thickBot="1" x14ac:dyDescent="0.6">
      <c r="A307" s="428"/>
      <c r="B307" s="265"/>
      <c r="C307" s="265"/>
      <c r="D307" s="265"/>
      <c r="E307" s="420" t="s">
        <v>506</v>
      </c>
      <c r="G307" s="265"/>
      <c r="H307" s="425">
        <f>SUM(H306)</f>
        <v>0</v>
      </c>
      <c r="I307" s="425">
        <f>SUM(I306)</f>
        <v>2643300</v>
      </c>
      <c r="J307" s="425">
        <f>SUM(J306)</f>
        <v>1389210</v>
      </c>
    </row>
    <row r="308" spans="1:10" ht="24" x14ac:dyDescent="0.55000000000000004">
      <c r="A308" s="421"/>
      <c r="B308" s="422"/>
      <c r="C308" s="422"/>
      <c r="D308" s="422"/>
      <c r="E308" s="423" t="s">
        <v>507</v>
      </c>
      <c r="F308" s="161"/>
      <c r="G308" s="424"/>
      <c r="H308" s="426"/>
      <c r="I308" s="426">
        <f>+I307+I260</f>
        <v>5947007.2699999996</v>
      </c>
      <c r="J308" s="427">
        <f>+J307+J260</f>
        <v>3694234.05</v>
      </c>
    </row>
    <row r="309" spans="1:10" ht="24" x14ac:dyDescent="0.55000000000000004">
      <c r="A309" s="270"/>
      <c r="B309" s="271"/>
      <c r="C309" s="271"/>
      <c r="D309" s="271"/>
      <c r="E309" s="271"/>
      <c r="F309" s="272"/>
      <c r="G309" s="273"/>
      <c r="H309" s="274"/>
      <c r="I309" s="275"/>
      <c r="J309" s="274"/>
    </row>
    <row r="310" spans="1:10" ht="24" x14ac:dyDescent="0.55000000000000004">
      <c r="A310" s="304" t="s">
        <v>630</v>
      </c>
      <c r="B310" s="302"/>
      <c r="C310" s="271"/>
      <c r="D310" s="271"/>
      <c r="E310" s="271"/>
      <c r="F310" s="272"/>
      <c r="G310" s="273"/>
      <c r="H310" s="274"/>
      <c r="I310" s="275"/>
      <c r="J310" s="274"/>
    </row>
    <row r="311" spans="1:10" ht="24" x14ac:dyDescent="0.55000000000000004">
      <c r="A311" s="270"/>
      <c r="B311" s="271" t="s">
        <v>633</v>
      </c>
      <c r="C311" s="271"/>
      <c r="D311" s="271"/>
      <c r="E311" s="271"/>
      <c r="F311" s="272"/>
      <c r="G311" s="273"/>
      <c r="H311" s="274"/>
      <c r="I311" s="275">
        <f>1284600+2997400</f>
        <v>4282000</v>
      </c>
      <c r="J311" s="274">
        <v>2997400</v>
      </c>
    </row>
    <row r="312" spans="1:10" ht="24" x14ac:dyDescent="0.55000000000000004">
      <c r="A312" s="270"/>
      <c r="B312" s="271"/>
      <c r="C312" s="271"/>
      <c r="D312" s="271"/>
      <c r="E312" s="271"/>
      <c r="F312" s="272"/>
      <c r="G312" s="273"/>
      <c r="H312" s="274"/>
      <c r="I312" s="275"/>
      <c r="J312" s="274"/>
    </row>
    <row r="313" spans="1:10" ht="24" x14ac:dyDescent="0.55000000000000004">
      <c r="A313" s="270"/>
      <c r="B313" s="271"/>
      <c r="C313" s="271"/>
      <c r="D313" s="271"/>
      <c r="E313" s="271"/>
      <c r="F313" s="272"/>
      <c r="G313" s="273"/>
      <c r="H313" s="274"/>
      <c r="I313" s="275"/>
      <c r="J313" s="274"/>
    </row>
    <row r="314" spans="1:10" ht="24" x14ac:dyDescent="0.55000000000000004">
      <c r="A314" s="270"/>
      <c r="B314" s="271"/>
      <c r="C314" s="271"/>
      <c r="D314" s="271"/>
      <c r="E314" s="271"/>
      <c r="F314" s="272"/>
      <c r="G314" s="273"/>
      <c r="H314" s="274"/>
      <c r="I314" s="275"/>
      <c r="J314" s="274"/>
    </row>
    <row r="315" spans="1:10" ht="24" x14ac:dyDescent="0.55000000000000004">
      <c r="A315" s="270"/>
      <c r="B315" s="271"/>
      <c r="C315" s="271"/>
      <c r="D315" s="271"/>
      <c r="E315" s="271"/>
      <c r="F315" s="272"/>
      <c r="G315" s="273"/>
      <c r="H315" s="274"/>
      <c r="I315" s="275"/>
      <c r="J315" s="274"/>
    </row>
    <row r="316" spans="1:10" ht="24" x14ac:dyDescent="0.55000000000000004">
      <c r="A316" s="305"/>
      <c r="B316" s="306"/>
      <c r="C316" s="306"/>
      <c r="D316" s="306"/>
      <c r="E316" s="847" t="s">
        <v>151</v>
      </c>
      <c r="F316" s="848"/>
      <c r="G316" s="307"/>
      <c r="H316" s="299">
        <f>SUM(H303:H315)</f>
        <v>0</v>
      </c>
      <c r="I316" s="299">
        <f>SUM(I311:I315)</f>
        <v>4282000</v>
      </c>
      <c r="J316" s="299">
        <f>SUM(J311:J315)</f>
        <v>2997400</v>
      </c>
    </row>
    <row r="317" spans="1:10" ht="24" x14ac:dyDescent="0.55000000000000004">
      <c r="A317" s="421"/>
      <c r="B317" s="422"/>
      <c r="C317" s="422"/>
      <c r="D317" s="422"/>
      <c r="E317" s="423" t="s">
        <v>507</v>
      </c>
      <c r="F317" s="161"/>
      <c r="G317" s="424"/>
      <c r="H317" s="426"/>
      <c r="I317" s="426">
        <f>+I308+I316</f>
        <v>10229007.27</v>
      </c>
      <c r="J317" s="426">
        <f>+J308+J316</f>
        <v>6691634.0499999998</v>
      </c>
    </row>
    <row r="320" spans="1:10" ht="24" x14ac:dyDescent="0.55000000000000004">
      <c r="A320" s="400" t="s">
        <v>471</v>
      </c>
      <c r="B320" s="400"/>
      <c r="C320" s="400"/>
      <c r="D320" s="400"/>
      <c r="E320" s="400"/>
      <c r="F320" s="400" t="s">
        <v>626</v>
      </c>
      <c r="G320" s="401"/>
      <c r="H320" s="401"/>
      <c r="I320" s="258" t="s">
        <v>474</v>
      </c>
      <c r="J320" s="258"/>
    </row>
    <row r="321" spans="1:10" ht="24" x14ac:dyDescent="0.55000000000000004">
      <c r="A321" s="400" t="s">
        <v>472</v>
      </c>
      <c r="B321" s="400"/>
      <c r="C321" s="400"/>
      <c r="D321" s="400"/>
      <c r="E321" s="400"/>
      <c r="F321" s="400" t="s">
        <v>510</v>
      </c>
      <c r="G321" s="401"/>
      <c r="H321" s="401"/>
      <c r="I321" s="258" t="s">
        <v>473</v>
      </c>
      <c r="J321" s="258"/>
    </row>
    <row r="322" spans="1:10" ht="24" x14ac:dyDescent="0.55000000000000004">
      <c r="A322" s="312"/>
      <c r="B322" s="312"/>
      <c r="C322" s="312"/>
      <c r="D322" s="312"/>
      <c r="E322" s="312"/>
      <c r="F322" s="400" t="s">
        <v>475</v>
      </c>
      <c r="G322" s="401"/>
      <c r="H322" s="401"/>
      <c r="I322" s="313"/>
      <c r="J322" s="313"/>
    </row>
    <row r="328" spans="1:10" s="259" customFormat="1" ht="24" x14ac:dyDescent="0.55000000000000004">
      <c r="A328" s="853" t="s">
        <v>76</v>
      </c>
      <c r="B328" s="853"/>
      <c r="C328" s="853"/>
      <c r="D328" s="853"/>
      <c r="E328" s="853"/>
      <c r="F328" s="853"/>
      <c r="G328" s="853"/>
      <c r="H328" s="853"/>
      <c r="I328" s="853"/>
      <c r="J328" s="853"/>
    </row>
    <row r="329" spans="1:10" s="259" customFormat="1" ht="24" x14ac:dyDescent="0.55000000000000004">
      <c r="A329" s="853" t="s">
        <v>334</v>
      </c>
      <c r="B329" s="853"/>
      <c r="C329" s="853"/>
      <c r="D329" s="853"/>
      <c r="E329" s="853"/>
      <c r="F329" s="853"/>
      <c r="G329" s="853"/>
      <c r="H329" s="853"/>
      <c r="I329" s="853"/>
      <c r="J329" s="853"/>
    </row>
    <row r="330" spans="1:10" s="259" customFormat="1" ht="24" x14ac:dyDescent="0.55000000000000004">
      <c r="A330" s="854" t="s">
        <v>530</v>
      </c>
      <c r="B330" s="854"/>
      <c r="C330" s="854"/>
      <c r="D330" s="854"/>
      <c r="E330" s="854"/>
      <c r="F330" s="854"/>
      <c r="G330" s="854"/>
      <c r="H330" s="854"/>
      <c r="I330" s="854"/>
      <c r="J330" s="854"/>
    </row>
    <row r="331" spans="1:10" s="259" customFormat="1" ht="24" x14ac:dyDescent="0.55000000000000004">
      <c r="A331" s="855"/>
      <c r="B331" s="856"/>
      <c r="C331" s="856"/>
      <c r="D331" s="856"/>
      <c r="E331" s="856"/>
      <c r="F331" s="857"/>
      <c r="G331" s="260" t="s">
        <v>78</v>
      </c>
      <c r="H331" s="260" t="s">
        <v>6</v>
      </c>
      <c r="I331" s="261" t="s">
        <v>335</v>
      </c>
      <c r="J331" s="262" t="s">
        <v>336</v>
      </c>
    </row>
    <row r="332" spans="1:10" s="259" customFormat="1" ht="24" x14ac:dyDescent="0.55000000000000004">
      <c r="A332" s="263" t="s">
        <v>337</v>
      </c>
      <c r="B332" s="264"/>
      <c r="C332" s="265"/>
      <c r="D332" s="265"/>
      <c r="E332" s="265"/>
      <c r="F332" s="266"/>
      <c r="G332" s="267"/>
      <c r="H332" s="268"/>
      <c r="I332" s="269"/>
      <c r="J332" s="268"/>
    </row>
    <row r="333" spans="1:10" s="259" customFormat="1" ht="24" x14ac:dyDescent="0.55000000000000004">
      <c r="A333" s="263" t="s">
        <v>338</v>
      </c>
      <c r="B333" s="264"/>
      <c r="C333" s="265"/>
      <c r="D333" s="265"/>
      <c r="E333" s="265"/>
      <c r="F333" s="266"/>
      <c r="G333" s="267"/>
      <c r="H333" s="268"/>
      <c r="I333" s="269"/>
      <c r="J333" s="268"/>
    </row>
    <row r="334" spans="1:10" s="259" customFormat="1" ht="24" x14ac:dyDescent="0.55000000000000004">
      <c r="A334" s="270" t="s">
        <v>339</v>
      </c>
      <c r="B334" s="271" t="s">
        <v>340</v>
      </c>
      <c r="C334" s="271"/>
      <c r="D334" s="271"/>
      <c r="E334" s="271"/>
      <c r="F334" s="272"/>
      <c r="G334" s="273">
        <v>411001</v>
      </c>
      <c r="H334" s="274">
        <v>3900000</v>
      </c>
      <c r="I334" s="275">
        <v>0</v>
      </c>
      <c r="J334" s="274">
        <v>0</v>
      </c>
    </row>
    <row r="335" spans="1:10" s="259" customFormat="1" ht="24" x14ac:dyDescent="0.55000000000000004">
      <c r="A335" s="270" t="s">
        <v>341</v>
      </c>
      <c r="B335" s="271" t="s">
        <v>342</v>
      </c>
      <c r="C335" s="271"/>
      <c r="D335" s="271"/>
      <c r="E335" s="271"/>
      <c r="F335" s="272"/>
      <c r="G335" s="273">
        <v>411002</v>
      </c>
      <c r="H335" s="274">
        <v>50000</v>
      </c>
      <c r="I335" s="275">
        <f>222.3+653.6</f>
        <v>875.90000000000009</v>
      </c>
      <c r="J335" s="274">
        <v>653.6</v>
      </c>
    </row>
    <row r="336" spans="1:10" s="259" customFormat="1" ht="24" x14ac:dyDescent="0.55000000000000004">
      <c r="A336" s="270" t="s">
        <v>343</v>
      </c>
      <c r="B336" s="271" t="s">
        <v>344</v>
      </c>
      <c r="C336" s="271"/>
      <c r="D336" s="271"/>
      <c r="E336" s="271"/>
      <c r="F336" s="272"/>
      <c r="G336" s="273">
        <v>411003</v>
      </c>
      <c r="H336" s="274">
        <v>20000</v>
      </c>
      <c r="I336" s="275"/>
      <c r="J336" s="274"/>
    </row>
    <row r="337" spans="1:11" s="259" customFormat="1" ht="24" x14ac:dyDescent="0.55000000000000004">
      <c r="A337" s="270" t="s">
        <v>345</v>
      </c>
      <c r="B337" s="271" t="s">
        <v>346</v>
      </c>
      <c r="C337" s="271"/>
      <c r="D337" s="271"/>
      <c r="E337" s="271"/>
      <c r="F337" s="272"/>
      <c r="G337" s="273">
        <v>411004</v>
      </c>
      <c r="H337" s="274">
        <v>0</v>
      </c>
      <c r="I337" s="275"/>
      <c r="J337" s="274"/>
    </row>
    <row r="338" spans="1:11" s="259" customFormat="1" ht="24" x14ac:dyDescent="0.55000000000000004">
      <c r="A338" s="270" t="s">
        <v>347</v>
      </c>
      <c r="B338" s="271" t="s">
        <v>348</v>
      </c>
      <c r="C338" s="271"/>
      <c r="D338" s="271"/>
      <c r="E338" s="271"/>
      <c r="F338" s="272"/>
      <c r="G338" s="273">
        <v>411005</v>
      </c>
      <c r="H338" s="276">
        <v>100000</v>
      </c>
      <c r="I338" s="277">
        <v>24629.02</v>
      </c>
      <c r="J338" s="276">
        <v>0</v>
      </c>
    </row>
    <row r="339" spans="1:11" s="259" customFormat="1" ht="24" x14ac:dyDescent="0.55000000000000004">
      <c r="A339" s="270"/>
      <c r="B339" s="271"/>
      <c r="C339" s="271"/>
      <c r="D339" s="271"/>
      <c r="E339" s="271"/>
      <c r="F339" s="272"/>
      <c r="G339" s="273"/>
      <c r="H339" s="299">
        <f>SUM(H334:H338)</f>
        <v>4070000</v>
      </c>
      <c r="I339" s="300">
        <f>SUM(I334:I338)</f>
        <v>25504.920000000002</v>
      </c>
      <c r="J339" s="299">
        <f>SUM(J334:J338)</f>
        <v>653.6</v>
      </c>
    </row>
    <row r="340" spans="1:11" s="259" customFormat="1" ht="24" x14ac:dyDescent="0.55000000000000004">
      <c r="A340" s="263" t="s">
        <v>349</v>
      </c>
      <c r="B340" s="278"/>
      <c r="C340" s="278"/>
      <c r="D340" s="278"/>
      <c r="E340" s="279"/>
      <c r="F340" s="280"/>
      <c r="G340" s="281"/>
      <c r="H340" s="282"/>
      <c r="I340" s="283"/>
      <c r="J340" s="268"/>
    </row>
    <row r="341" spans="1:11" s="259" customFormat="1" ht="24" x14ac:dyDescent="0.55000000000000004">
      <c r="A341" s="270" t="s">
        <v>339</v>
      </c>
      <c r="B341" s="271" t="s">
        <v>350</v>
      </c>
      <c r="C341" s="284"/>
      <c r="D341" s="284"/>
      <c r="E341" s="284"/>
      <c r="F341" s="285"/>
      <c r="G341" s="286">
        <v>412103</v>
      </c>
      <c r="H341" s="287">
        <v>500</v>
      </c>
      <c r="I341" s="275">
        <v>155.19999999999999</v>
      </c>
      <c r="J341" s="274">
        <v>155.19999999999999</v>
      </c>
    </row>
    <row r="342" spans="1:11" s="259" customFormat="1" ht="24" x14ac:dyDescent="0.55000000000000004">
      <c r="A342" s="270" t="s">
        <v>341</v>
      </c>
      <c r="B342" s="271" t="s">
        <v>351</v>
      </c>
      <c r="C342" s="284"/>
      <c r="D342" s="284"/>
      <c r="E342" s="284"/>
      <c r="F342" s="285"/>
      <c r="G342" s="286">
        <v>412104</v>
      </c>
      <c r="H342" s="287">
        <v>500</v>
      </c>
      <c r="I342" s="288"/>
      <c r="J342" s="274"/>
    </row>
    <row r="343" spans="1:11" s="259" customFormat="1" ht="24" x14ac:dyDescent="0.55000000000000004">
      <c r="A343" s="270" t="s">
        <v>343</v>
      </c>
      <c r="B343" s="271" t="s">
        <v>352</v>
      </c>
      <c r="C343" s="284"/>
      <c r="D343" s="284"/>
      <c r="E343" s="284"/>
      <c r="F343" s="285"/>
      <c r="G343" s="286">
        <v>4120106</v>
      </c>
      <c r="H343" s="287">
        <v>20000</v>
      </c>
      <c r="I343" s="288">
        <f>292+24+164</f>
        <v>480</v>
      </c>
      <c r="J343" s="274">
        <v>164</v>
      </c>
    </row>
    <row r="344" spans="1:11" s="259" customFormat="1" ht="24" x14ac:dyDescent="0.55000000000000004">
      <c r="A344" s="270" t="s">
        <v>345</v>
      </c>
      <c r="B344" s="271" t="s">
        <v>456</v>
      </c>
      <c r="C344" s="284"/>
      <c r="D344" s="284"/>
      <c r="E344" s="284"/>
      <c r="F344" s="285"/>
      <c r="G344" s="286"/>
      <c r="H344" s="287">
        <v>500</v>
      </c>
      <c r="I344" s="288"/>
      <c r="J344" s="274"/>
    </row>
    <row r="345" spans="1:11" s="259" customFormat="1" ht="24" x14ac:dyDescent="0.55000000000000004">
      <c r="A345" s="270" t="s">
        <v>347</v>
      </c>
      <c r="B345" s="271" t="s">
        <v>457</v>
      </c>
      <c r="C345" s="284"/>
      <c r="D345" s="284"/>
      <c r="E345" s="284"/>
      <c r="F345" s="285"/>
      <c r="G345" s="286"/>
      <c r="H345" s="287">
        <v>500</v>
      </c>
      <c r="I345" s="288"/>
      <c r="J345" s="274"/>
    </row>
    <row r="346" spans="1:11" s="259" customFormat="1" ht="24" x14ac:dyDescent="0.55000000000000004">
      <c r="A346" s="270"/>
      <c r="B346" s="271" t="s">
        <v>458</v>
      </c>
      <c r="C346" s="284"/>
      <c r="D346" s="284"/>
      <c r="E346" s="284"/>
      <c r="F346" s="285"/>
      <c r="G346" s="286"/>
      <c r="H346" s="287"/>
      <c r="I346" s="288"/>
      <c r="J346" s="274"/>
    </row>
    <row r="347" spans="1:11" s="259" customFormat="1" ht="24" x14ac:dyDescent="0.55000000000000004">
      <c r="A347" s="270" t="s">
        <v>355</v>
      </c>
      <c r="B347" s="271" t="s">
        <v>459</v>
      </c>
      <c r="C347" s="284"/>
      <c r="D347" s="284"/>
      <c r="E347" s="284"/>
      <c r="F347" s="285"/>
      <c r="G347" s="286"/>
      <c r="H347" s="287">
        <v>500</v>
      </c>
      <c r="I347" s="288"/>
      <c r="J347" s="274"/>
    </row>
    <row r="348" spans="1:11" s="259" customFormat="1" ht="24" x14ac:dyDescent="0.55000000000000004">
      <c r="A348" s="270"/>
      <c r="B348" s="271" t="s">
        <v>460</v>
      </c>
      <c r="C348" s="284"/>
      <c r="D348" s="284"/>
      <c r="E348" s="284"/>
      <c r="F348" s="285"/>
      <c r="G348" s="286"/>
      <c r="H348" s="287"/>
      <c r="I348" s="288"/>
      <c r="J348" s="274"/>
    </row>
    <row r="349" spans="1:11" s="289" customFormat="1" ht="24" x14ac:dyDescent="0.55000000000000004">
      <c r="A349" s="290" t="s">
        <v>357</v>
      </c>
      <c r="B349" s="271" t="s">
        <v>353</v>
      </c>
      <c r="C349" s="271"/>
      <c r="D349" s="271"/>
      <c r="E349" s="271"/>
      <c r="F349" s="272"/>
      <c r="G349" s="286">
        <v>412128</v>
      </c>
      <c r="H349" s="274">
        <v>1000</v>
      </c>
      <c r="I349" s="275">
        <f>50+50+50</f>
        <v>150</v>
      </c>
      <c r="J349" s="274">
        <v>50</v>
      </c>
    </row>
    <row r="350" spans="1:11" s="289" customFormat="1" ht="24" x14ac:dyDescent="0.55000000000000004">
      <c r="A350" s="290" t="s">
        <v>359</v>
      </c>
      <c r="B350" s="271" t="s">
        <v>461</v>
      </c>
      <c r="C350" s="271"/>
      <c r="D350" s="271"/>
      <c r="E350" s="271"/>
      <c r="F350" s="272"/>
      <c r="G350" s="286"/>
      <c r="H350" s="274">
        <v>500</v>
      </c>
      <c r="I350" s="275"/>
      <c r="J350" s="274"/>
      <c r="K350" s="289">
        <v>1</v>
      </c>
    </row>
    <row r="351" spans="1:11" s="289" customFormat="1" ht="24" x14ac:dyDescent="0.55000000000000004">
      <c r="A351" s="270" t="s">
        <v>361</v>
      </c>
      <c r="B351" s="271" t="s">
        <v>354</v>
      </c>
      <c r="C351" s="271"/>
      <c r="D351" s="271"/>
      <c r="E351" s="271"/>
      <c r="F351" s="272"/>
      <c r="G351" s="286">
        <v>412199</v>
      </c>
      <c r="H351" s="274">
        <v>1500</v>
      </c>
      <c r="I351" s="275">
        <v>200</v>
      </c>
      <c r="J351" s="274">
        <v>200</v>
      </c>
    </row>
    <row r="352" spans="1:11" s="289" customFormat="1" ht="24" x14ac:dyDescent="0.55000000000000004">
      <c r="A352" s="270" t="s">
        <v>363</v>
      </c>
      <c r="B352" s="271" t="s">
        <v>356</v>
      </c>
      <c r="C352" s="271"/>
      <c r="D352" s="271"/>
      <c r="E352" s="271"/>
      <c r="F352" s="272"/>
      <c r="G352" s="286"/>
      <c r="H352" s="274">
        <v>1500</v>
      </c>
      <c r="I352" s="275">
        <f>200+650+200</f>
        <v>1050</v>
      </c>
      <c r="J352" s="274">
        <v>200</v>
      </c>
    </row>
    <row r="353" spans="1:10" s="289" customFormat="1" ht="24" x14ac:dyDescent="0.55000000000000004">
      <c r="A353" s="270" t="s">
        <v>365</v>
      </c>
      <c r="B353" s="271" t="s">
        <v>358</v>
      </c>
      <c r="C353" s="271"/>
      <c r="D353" s="271"/>
      <c r="E353" s="271"/>
      <c r="F353" s="272"/>
      <c r="G353" s="286"/>
      <c r="H353" s="274">
        <v>50000</v>
      </c>
      <c r="I353" s="275"/>
      <c r="J353" s="274"/>
    </row>
    <row r="354" spans="1:10" s="289" customFormat="1" ht="24" x14ac:dyDescent="0.55000000000000004">
      <c r="A354" s="270" t="s">
        <v>367</v>
      </c>
      <c r="B354" s="271" t="s">
        <v>360</v>
      </c>
      <c r="C354" s="271"/>
      <c r="D354" s="271"/>
      <c r="E354" s="271"/>
      <c r="F354" s="272"/>
      <c r="G354" s="286">
        <v>412211</v>
      </c>
      <c r="H354" s="274">
        <v>500</v>
      </c>
      <c r="I354" s="275"/>
      <c r="J354" s="274"/>
    </row>
    <row r="355" spans="1:10" s="291" customFormat="1" ht="24" x14ac:dyDescent="0.55000000000000004">
      <c r="A355" s="270" t="s">
        <v>369</v>
      </c>
      <c r="B355" s="291" t="s">
        <v>362</v>
      </c>
      <c r="F355" s="292"/>
      <c r="G355" s="293">
        <v>412299</v>
      </c>
      <c r="H355" s="294">
        <v>500</v>
      </c>
      <c r="I355" s="295"/>
      <c r="J355" s="294"/>
    </row>
    <row r="356" spans="1:10" s="265" customFormat="1" ht="24" x14ac:dyDescent="0.55000000000000004">
      <c r="A356" s="270" t="s">
        <v>371</v>
      </c>
      <c r="B356" s="291" t="s">
        <v>462</v>
      </c>
      <c r="C356" s="291"/>
      <c r="D356" s="291"/>
      <c r="E356" s="291"/>
      <c r="F356" s="292"/>
      <c r="G356" s="293"/>
      <c r="H356" s="294">
        <v>500</v>
      </c>
      <c r="I356" s="295"/>
      <c r="J356" s="268"/>
    </row>
    <row r="357" spans="1:10" s="289" customFormat="1" ht="24" x14ac:dyDescent="0.55000000000000004">
      <c r="A357" s="270" t="s">
        <v>373</v>
      </c>
      <c r="B357" s="291" t="s">
        <v>364</v>
      </c>
      <c r="C357" s="291"/>
      <c r="D357" s="291"/>
      <c r="E357" s="291"/>
      <c r="F357" s="292"/>
      <c r="G357" s="296">
        <v>412303</v>
      </c>
      <c r="H357" s="294">
        <v>500</v>
      </c>
      <c r="I357" s="295"/>
      <c r="J357" s="268"/>
    </row>
    <row r="358" spans="1:10" s="289" customFormat="1" ht="24" x14ac:dyDescent="0.55000000000000004">
      <c r="A358" s="270" t="s">
        <v>463</v>
      </c>
      <c r="B358" s="271" t="s">
        <v>366</v>
      </c>
      <c r="C358" s="271"/>
      <c r="D358" s="271"/>
      <c r="E358" s="271"/>
      <c r="F358" s="272"/>
      <c r="G358" s="273">
        <v>412304</v>
      </c>
      <c r="H358" s="274">
        <v>500</v>
      </c>
      <c r="I358" s="275"/>
      <c r="J358" s="274"/>
    </row>
    <row r="359" spans="1:10" s="289" customFormat="1" ht="24" x14ac:dyDescent="0.55000000000000004">
      <c r="A359" s="270" t="s">
        <v>464</v>
      </c>
      <c r="B359" s="271" t="s">
        <v>368</v>
      </c>
      <c r="C359" s="271"/>
      <c r="D359" s="271"/>
      <c r="E359" s="271"/>
      <c r="F359" s="272"/>
      <c r="G359" s="273">
        <v>412305</v>
      </c>
      <c r="H359" s="274">
        <v>500</v>
      </c>
      <c r="I359" s="275"/>
      <c r="J359" s="274"/>
    </row>
    <row r="360" spans="1:10" s="289" customFormat="1" ht="24" x14ac:dyDescent="0.55000000000000004">
      <c r="A360" s="270" t="s">
        <v>465</v>
      </c>
      <c r="B360" s="271" t="s">
        <v>370</v>
      </c>
      <c r="C360" s="271"/>
      <c r="D360" s="271"/>
      <c r="E360" s="271"/>
      <c r="F360" s="272"/>
      <c r="G360" s="273">
        <v>412306</v>
      </c>
      <c r="H360" s="276">
        <v>500</v>
      </c>
      <c r="I360" s="277"/>
      <c r="J360" s="274"/>
    </row>
    <row r="361" spans="1:10" s="289" customFormat="1" ht="24" x14ac:dyDescent="0.55000000000000004">
      <c r="A361" s="270" t="s">
        <v>466</v>
      </c>
      <c r="B361" s="271" t="s">
        <v>372</v>
      </c>
      <c r="C361" s="271"/>
      <c r="D361" s="271"/>
      <c r="E361" s="271"/>
      <c r="F361" s="272"/>
      <c r="G361" s="273">
        <v>412307</v>
      </c>
      <c r="H361" s="276">
        <v>2000</v>
      </c>
      <c r="I361" s="277">
        <f>20+20+40</f>
        <v>80</v>
      </c>
      <c r="J361" s="274">
        <v>40</v>
      </c>
    </row>
    <row r="362" spans="1:10" s="289" customFormat="1" ht="24" x14ac:dyDescent="0.55000000000000004">
      <c r="A362" s="270" t="s">
        <v>467</v>
      </c>
      <c r="B362" s="271" t="s">
        <v>374</v>
      </c>
      <c r="C362" s="271"/>
      <c r="D362" s="271"/>
      <c r="E362" s="271"/>
      <c r="F362" s="272"/>
      <c r="G362" s="273">
        <v>412399</v>
      </c>
      <c r="H362" s="276">
        <v>500</v>
      </c>
      <c r="I362" s="277">
        <f>70+30</f>
        <v>100</v>
      </c>
      <c r="J362" s="268">
        <v>30</v>
      </c>
    </row>
    <row r="363" spans="1:10" s="289" customFormat="1" ht="24" x14ac:dyDescent="0.55000000000000004">
      <c r="A363" s="305"/>
      <c r="B363" s="306"/>
      <c r="C363" s="306"/>
      <c r="D363" s="306"/>
      <c r="E363" s="847"/>
      <c r="F363" s="848"/>
      <c r="G363" s="396"/>
      <c r="H363" s="299">
        <f>SUM(H341:H362)</f>
        <v>83000</v>
      </c>
      <c r="I363" s="300">
        <f>SUM(I341:I362)</f>
        <v>2215.1999999999998</v>
      </c>
      <c r="J363" s="299">
        <f>SUM(J341:J362)</f>
        <v>839.2</v>
      </c>
    </row>
    <row r="368" spans="1:10" s="289" customFormat="1" ht="24" x14ac:dyDescent="0.55000000000000004">
      <c r="A368" s="858" t="s">
        <v>455</v>
      </c>
      <c r="B368" s="858"/>
      <c r="C368" s="858"/>
      <c r="D368" s="858"/>
      <c r="E368" s="858"/>
      <c r="F368" s="858"/>
      <c r="G368" s="858"/>
      <c r="H368" s="858"/>
      <c r="I368" s="858"/>
      <c r="J368" s="858"/>
    </row>
    <row r="369" spans="1:11" s="289" customFormat="1" ht="24" x14ac:dyDescent="0.55000000000000004">
      <c r="A369" s="395"/>
      <c r="B369" s="395"/>
      <c r="C369" s="395"/>
      <c r="D369" s="395"/>
      <c r="E369" s="395"/>
      <c r="F369" s="395"/>
      <c r="G369" s="395"/>
      <c r="H369" s="395"/>
      <c r="I369" s="395"/>
      <c r="J369" s="395"/>
    </row>
    <row r="370" spans="1:11" s="259" customFormat="1" ht="24" x14ac:dyDescent="0.55000000000000004">
      <c r="A370" s="855"/>
      <c r="B370" s="856"/>
      <c r="C370" s="856"/>
      <c r="D370" s="856"/>
      <c r="E370" s="856"/>
      <c r="F370" s="857"/>
      <c r="G370" s="260" t="s">
        <v>78</v>
      </c>
      <c r="H370" s="260" t="s">
        <v>6</v>
      </c>
      <c r="I370" s="261" t="s">
        <v>335</v>
      </c>
      <c r="J370" s="262" t="s">
        <v>336</v>
      </c>
    </row>
    <row r="371" spans="1:11" s="289" customFormat="1" ht="24" x14ac:dyDescent="0.55000000000000004">
      <c r="A371" s="301" t="s">
        <v>375</v>
      </c>
      <c r="B371" s="302"/>
      <c r="C371" s="302"/>
      <c r="D371" s="271"/>
      <c r="E371" s="271"/>
      <c r="F371" s="272"/>
      <c r="G371" s="298"/>
      <c r="H371" s="268"/>
      <c r="I371" s="269"/>
      <c r="J371" s="268"/>
    </row>
    <row r="372" spans="1:11" s="289" customFormat="1" ht="24" x14ac:dyDescent="0.55000000000000004">
      <c r="A372" s="270" t="s">
        <v>339</v>
      </c>
      <c r="B372" s="271" t="s">
        <v>376</v>
      </c>
      <c r="C372" s="271"/>
      <c r="D372" s="271"/>
      <c r="E372" s="271"/>
      <c r="F372" s="272"/>
      <c r="G372" s="273">
        <v>413003</v>
      </c>
      <c r="H372" s="276">
        <v>100000</v>
      </c>
      <c r="I372" s="277">
        <v>0</v>
      </c>
      <c r="J372" s="274">
        <v>0</v>
      </c>
    </row>
    <row r="373" spans="1:11" s="259" customFormat="1" ht="24" x14ac:dyDescent="0.55000000000000004">
      <c r="A373" s="270" t="s">
        <v>341</v>
      </c>
      <c r="B373" s="271" t="s">
        <v>377</v>
      </c>
      <c r="C373" s="271"/>
      <c r="D373" s="271"/>
      <c r="E373" s="271"/>
      <c r="F373" s="272"/>
      <c r="G373" s="273">
        <v>413999</v>
      </c>
      <c r="H373" s="276">
        <v>10000</v>
      </c>
      <c r="I373" s="277">
        <v>0</v>
      </c>
      <c r="J373" s="268">
        <v>0</v>
      </c>
    </row>
    <row r="374" spans="1:11" s="259" customFormat="1" ht="24" x14ac:dyDescent="0.55000000000000004">
      <c r="A374" s="270"/>
      <c r="B374" s="271"/>
      <c r="C374" s="271"/>
      <c r="D374" s="271"/>
      <c r="E374" s="271"/>
      <c r="F374" s="272"/>
      <c r="G374" s="273"/>
      <c r="H374" s="299">
        <f>SUM(H372:H373)</f>
        <v>110000</v>
      </c>
      <c r="I374" s="300">
        <f>SUM(I372:I373)</f>
        <v>0</v>
      </c>
      <c r="J374" s="299">
        <f>SUM(J372:J373)</f>
        <v>0</v>
      </c>
    </row>
    <row r="375" spans="1:11" s="289" customFormat="1" ht="24" x14ac:dyDescent="0.55000000000000004">
      <c r="A375" s="301" t="s">
        <v>378</v>
      </c>
      <c r="B375" s="302"/>
      <c r="C375" s="302"/>
      <c r="D375" s="302"/>
      <c r="E375" s="302"/>
      <c r="F375" s="272"/>
      <c r="G375" s="298"/>
      <c r="H375" s="268"/>
      <c r="I375" s="269"/>
      <c r="J375" s="268"/>
    </row>
    <row r="376" spans="1:11" s="289" customFormat="1" ht="24" x14ac:dyDescent="0.55000000000000004">
      <c r="A376" s="270" t="s">
        <v>339</v>
      </c>
      <c r="B376" s="271" t="s">
        <v>21</v>
      </c>
      <c r="C376" s="271"/>
      <c r="D376" s="271"/>
      <c r="E376" s="271"/>
      <c r="F376" s="272"/>
      <c r="G376" s="273">
        <v>414006</v>
      </c>
      <c r="H376" s="274">
        <v>1000000</v>
      </c>
      <c r="I376" s="275">
        <f>41213+40907+47749</f>
        <v>129869</v>
      </c>
      <c r="J376" s="274">
        <v>47749</v>
      </c>
    </row>
    <row r="377" spans="1:11" s="289" customFormat="1" ht="24" x14ac:dyDescent="0.55000000000000004">
      <c r="A377" s="270" t="s">
        <v>341</v>
      </c>
      <c r="B377" s="271" t="s">
        <v>379</v>
      </c>
      <c r="C377" s="271"/>
      <c r="D377" s="271"/>
      <c r="E377" s="271"/>
      <c r="F377" s="272"/>
      <c r="G377" s="273">
        <v>414999</v>
      </c>
      <c r="H377" s="268">
        <v>5000</v>
      </c>
      <c r="I377" s="269">
        <f>200+200+200</f>
        <v>600</v>
      </c>
      <c r="J377" s="303">
        <v>200</v>
      </c>
    </row>
    <row r="378" spans="1:11" s="289" customFormat="1" ht="24" x14ac:dyDescent="0.55000000000000004">
      <c r="A378" s="391"/>
      <c r="B378" s="392"/>
      <c r="C378" s="392"/>
      <c r="D378" s="392"/>
      <c r="E378" s="859" t="s">
        <v>151</v>
      </c>
      <c r="F378" s="860"/>
      <c r="G378" s="393"/>
      <c r="H378" s="299">
        <f>SUM(H376:H377)</f>
        <v>1005000</v>
      </c>
      <c r="I378" s="300">
        <f>SUM(I376:I377)</f>
        <v>130469</v>
      </c>
      <c r="J378" s="299">
        <f>SUM(J376:J377)</f>
        <v>47949</v>
      </c>
    </row>
    <row r="379" spans="1:11" s="289" customFormat="1" ht="24" x14ac:dyDescent="0.55000000000000004">
      <c r="A379" s="301" t="s">
        <v>380</v>
      </c>
      <c r="B379" s="302"/>
      <c r="C379" s="302"/>
      <c r="D379" s="271"/>
      <c r="E379" s="271"/>
      <c r="F379" s="272"/>
      <c r="G379" s="298"/>
      <c r="H379" s="268"/>
      <c r="I379" s="269"/>
      <c r="J379" s="268"/>
    </row>
    <row r="380" spans="1:11" s="289" customFormat="1" ht="24" x14ac:dyDescent="0.55000000000000004">
      <c r="A380" s="270" t="s">
        <v>339</v>
      </c>
      <c r="B380" s="271" t="s">
        <v>381</v>
      </c>
      <c r="C380" s="271"/>
      <c r="D380" s="271"/>
      <c r="E380" s="271"/>
      <c r="F380" s="272"/>
      <c r="G380" s="273">
        <v>415004</v>
      </c>
      <c r="H380" s="274">
        <v>80000</v>
      </c>
      <c r="I380" s="277">
        <f>3000+7200</f>
        <v>10200</v>
      </c>
      <c r="J380" s="274">
        <v>7200</v>
      </c>
      <c r="K380" s="289">
        <v>2</v>
      </c>
    </row>
    <row r="381" spans="1:11" s="289" customFormat="1" ht="24" x14ac:dyDescent="0.55000000000000004">
      <c r="A381" s="270" t="s">
        <v>341</v>
      </c>
      <c r="B381" s="271" t="s">
        <v>382</v>
      </c>
      <c r="C381" s="271"/>
      <c r="D381" s="271"/>
      <c r="E381" s="271"/>
      <c r="F381" s="272"/>
      <c r="G381" s="273">
        <v>415999</v>
      </c>
      <c r="H381" s="276">
        <v>10000</v>
      </c>
      <c r="I381" s="277">
        <v>500</v>
      </c>
      <c r="J381" s="268">
        <v>0</v>
      </c>
    </row>
    <row r="382" spans="1:11" s="289" customFormat="1" ht="24" x14ac:dyDescent="0.55000000000000004">
      <c r="A382" s="270"/>
      <c r="B382" s="271"/>
      <c r="C382" s="271"/>
      <c r="D382" s="271"/>
      <c r="E382" s="271"/>
      <c r="F382" s="272"/>
      <c r="G382" s="273"/>
      <c r="H382" s="299">
        <f>SUM(H380:H381)</f>
        <v>90000</v>
      </c>
      <c r="I382" s="300">
        <f>SUM(I380:I381)</f>
        <v>10700</v>
      </c>
      <c r="J382" s="299">
        <f>SUM(J380:J381)</f>
        <v>7200</v>
      </c>
    </row>
    <row r="383" spans="1:11" s="289" customFormat="1" ht="24" x14ac:dyDescent="0.55000000000000004">
      <c r="A383" s="301" t="s">
        <v>383</v>
      </c>
      <c r="B383" s="302"/>
      <c r="C383" s="302"/>
      <c r="D383" s="271"/>
      <c r="E383" s="271"/>
      <c r="F383" s="272"/>
      <c r="G383" s="298"/>
      <c r="H383" s="268"/>
      <c r="I383" s="269"/>
      <c r="J383" s="268"/>
    </row>
    <row r="384" spans="1:11" s="289" customFormat="1" ht="24" x14ac:dyDescent="0.55000000000000004">
      <c r="A384" s="270" t="s">
        <v>339</v>
      </c>
      <c r="B384" s="271" t="s">
        <v>384</v>
      </c>
      <c r="C384" s="271"/>
      <c r="D384" s="271"/>
      <c r="E384" s="271"/>
      <c r="F384" s="272"/>
      <c r="G384" s="273">
        <v>416001</v>
      </c>
      <c r="H384" s="274">
        <v>2000</v>
      </c>
      <c r="I384" s="277">
        <v>0</v>
      </c>
      <c r="J384" s="274">
        <v>0</v>
      </c>
    </row>
    <row r="385" spans="1:10" s="289" customFormat="1" ht="24" x14ac:dyDescent="0.55000000000000004">
      <c r="A385" s="270" t="s">
        <v>341</v>
      </c>
      <c r="B385" s="271" t="s">
        <v>385</v>
      </c>
      <c r="C385" s="271"/>
      <c r="D385" s="271"/>
      <c r="E385" s="271"/>
      <c r="F385" s="272"/>
      <c r="G385" s="273">
        <v>416999</v>
      </c>
      <c r="H385" s="276">
        <v>0</v>
      </c>
      <c r="I385" s="277">
        <v>0</v>
      </c>
      <c r="J385" s="268">
        <v>0</v>
      </c>
    </row>
    <row r="386" spans="1:10" s="289" customFormat="1" ht="24" x14ac:dyDescent="0.55000000000000004">
      <c r="A386" s="270"/>
      <c r="B386" s="271"/>
      <c r="C386" s="271"/>
      <c r="D386" s="271"/>
      <c r="E386" s="271"/>
      <c r="F386" s="272"/>
      <c r="G386" s="273"/>
      <c r="H386" s="299">
        <f>SUM(H384:H385)</f>
        <v>2000</v>
      </c>
      <c r="I386" s="300">
        <f>SUM(I384:I385)</f>
        <v>0</v>
      </c>
      <c r="J386" s="299">
        <f>SUM(J384:J385)</f>
        <v>0</v>
      </c>
    </row>
    <row r="387" spans="1:10" s="289" customFormat="1" ht="24" x14ac:dyDescent="0.55000000000000004">
      <c r="A387" s="304" t="s">
        <v>386</v>
      </c>
      <c r="B387" s="271"/>
      <c r="C387" s="271"/>
      <c r="D387" s="271"/>
      <c r="E387" s="271"/>
      <c r="F387" s="272"/>
      <c r="G387" s="273"/>
      <c r="H387" s="268"/>
      <c r="I387" s="269"/>
      <c r="J387" s="268"/>
    </row>
    <row r="388" spans="1:10" s="259" customFormat="1" ht="24" x14ac:dyDescent="0.55000000000000004">
      <c r="A388" s="270" t="s">
        <v>339</v>
      </c>
      <c r="B388" s="271" t="s">
        <v>387</v>
      </c>
      <c r="C388" s="271"/>
      <c r="D388" s="271"/>
      <c r="E388" s="271"/>
      <c r="F388" s="272"/>
      <c r="G388" s="273">
        <v>421002</v>
      </c>
      <c r="H388" s="274">
        <v>7000000</v>
      </c>
      <c r="I388" s="274">
        <f>576013.89+578421.62+586350.36</f>
        <v>1740785.87</v>
      </c>
      <c r="J388" s="274">
        <v>586350.36</v>
      </c>
    </row>
    <row r="389" spans="1:10" s="259" customFormat="1" ht="24" x14ac:dyDescent="0.55000000000000004">
      <c r="A389" s="270" t="s">
        <v>341</v>
      </c>
      <c r="B389" s="271" t="s">
        <v>388</v>
      </c>
      <c r="C389" s="271"/>
      <c r="D389" s="271"/>
      <c r="E389" s="271"/>
      <c r="F389" s="272"/>
      <c r="G389" s="273">
        <v>421004</v>
      </c>
      <c r="H389" s="274">
        <v>1500000</v>
      </c>
      <c r="I389" s="274">
        <f>113953.78+131505.43</f>
        <v>245459.21</v>
      </c>
      <c r="J389" s="274"/>
    </row>
    <row r="390" spans="1:10" s="259" customFormat="1" ht="24" x14ac:dyDescent="0.55000000000000004">
      <c r="A390" s="270" t="s">
        <v>343</v>
      </c>
      <c r="B390" s="271" t="s">
        <v>389</v>
      </c>
      <c r="C390" s="271"/>
      <c r="D390" s="271"/>
      <c r="E390" s="271"/>
      <c r="F390" s="272"/>
      <c r="G390" s="273">
        <v>421005</v>
      </c>
      <c r="H390" s="274">
        <v>100000</v>
      </c>
      <c r="I390" s="274">
        <v>2747.3</v>
      </c>
      <c r="J390" s="274">
        <v>2747.3</v>
      </c>
    </row>
    <row r="391" spans="1:10" s="259" customFormat="1" ht="24" x14ac:dyDescent="0.55000000000000004">
      <c r="A391" s="270" t="s">
        <v>345</v>
      </c>
      <c r="B391" s="271" t="s">
        <v>390</v>
      </c>
      <c r="C391" s="271"/>
      <c r="D391" s="271"/>
      <c r="E391" s="271"/>
      <c r="F391" s="272"/>
      <c r="G391" s="273">
        <v>421006</v>
      </c>
      <c r="H391" s="274">
        <v>700000</v>
      </c>
      <c r="I391" s="274">
        <f>47274.97+53800.47</f>
        <v>101075.44</v>
      </c>
      <c r="J391" s="274"/>
    </row>
    <row r="392" spans="1:10" s="259" customFormat="1" ht="24" x14ac:dyDescent="0.55000000000000004">
      <c r="A392" s="270" t="s">
        <v>347</v>
      </c>
      <c r="B392" s="271" t="s">
        <v>391</v>
      </c>
      <c r="C392" s="271"/>
      <c r="D392" s="271"/>
      <c r="E392" s="271"/>
      <c r="F392" s="272"/>
      <c r="G392" s="273">
        <v>421007</v>
      </c>
      <c r="H392" s="274">
        <v>1000000</v>
      </c>
      <c r="I392" s="275">
        <f>102069.72+113369.21</f>
        <v>215438.93</v>
      </c>
      <c r="J392" s="274"/>
    </row>
    <row r="393" spans="1:10" s="259" customFormat="1" ht="24" x14ac:dyDescent="0.55000000000000004">
      <c r="A393" s="270" t="s">
        <v>355</v>
      </c>
      <c r="B393" s="271" t="s">
        <v>468</v>
      </c>
      <c r="C393" s="271"/>
      <c r="D393" s="271"/>
      <c r="E393" s="271"/>
      <c r="F393" s="272"/>
      <c r="G393" s="273">
        <v>421011</v>
      </c>
      <c r="H393" s="274">
        <v>10000</v>
      </c>
      <c r="I393" s="275"/>
      <c r="J393" s="274"/>
    </row>
    <row r="394" spans="1:10" s="259" customFormat="1" ht="24" x14ac:dyDescent="0.55000000000000004">
      <c r="A394" s="290" t="s">
        <v>357</v>
      </c>
      <c r="B394" s="259" t="s">
        <v>392</v>
      </c>
      <c r="G394" s="273">
        <v>421012</v>
      </c>
      <c r="H394" s="274">
        <v>30000</v>
      </c>
      <c r="I394" s="275"/>
      <c r="J394" s="274"/>
    </row>
    <row r="395" spans="1:10" s="259" customFormat="1" ht="24" x14ac:dyDescent="0.55000000000000004">
      <c r="A395" s="290" t="s">
        <v>359</v>
      </c>
      <c r="B395" s="271" t="s">
        <v>393</v>
      </c>
      <c r="C395" s="271"/>
      <c r="D395" s="271"/>
      <c r="E395" s="271"/>
      <c r="F395" s="272"/>
      <c r="G395" s="273">
        <v>421013</v>
      </c>
      <c r="H395" s="274">
        <v>40000</v>
      </c>
      <c r="I395" s="275">
        <v>7014.11</v>
      </c>
      <c r="J395" s="274"/>
    </row>
    <row r="396" spans="1:10" s="259" customFormat="1" ht="24" x14ac:dyDescent="0.55000000000000004">
      <c r="A396" s="270" t="s">
        <v>361</v>
      </c>
      <c r="B396" s="271" t="s">
        <v>394</v>
      </c>
      <c r="C396" s="271"/>
      <c r="D396" s="271"/>
      <c r="E396" s="271"/>
      <c r="F396" s="272"/>
      <c r="G396" s="273">
        <v>421015</v>
      </c>
      <c r="H396" s="274">
        <v>1000000</v>
      </c>
      <c r="I396" s="275">
        <f>110381.75+16924</f>
        <v>127305.75</v>
      </c>
      <c r="J396" s="274">
        <v>16924</v>
      </c>
    </row>
    <row r="397" spans="1:10" s="259" customFormat="1" ht="24" x14ac:dyDescent="0.55000000000000004">
      <c r="A397" s="270" t="s">
        <v>363</v>
      </c>
      <c r="B397" s="271" t="s">
        <v>395</v>
      </c>
      <c r="C397" s="271"/>
      <c r="D397" s="271"/>
      <c r="E397" s="271"/>
      <c r="F397" s="272"/>
      <c r="G397" s="273">
        <v>421999</v>
      </c>
      <c r="H397" s="274">
        <v>10000</v>
      </c>
      <c r="I397" s="275"/>
      <c r="J397" s="274"/>
    </row>
    <row r="398" spans="1:10" s="259" customFormat="1" ht="24" x14ac:dyDescent="0.55000000000000004">
      <c r="A398" s="270" t="s">
        <v>365</v>
      </c>
      <c r="B398" s="271" t="s">
        <v>505</v>
      </c>
      <c r="C398" s="271"/>
      <c r="D398" s="271"/>
      <c r="E398" s="271"/>
      <c r="F398" s="272"/>
      <c r="G398" s="273"/>
      <c r="H398" s="268">
        <v>500000</v>
      </c>
      <c r="I398" s="269"/>
      <c r="J398" s="268"/>
    </row>
    <row r="399" spans="1:10" s="289" customFormat="1" ht="24" x14ac:dyDescent="0.55000000000000004">
      <c r="A399" s="297"/>
      <c r="B399" s="271"/>
      <c r="C399" s="271"/>
      <c r="D399" s="271"/>
      <c r="E399" s="861" t="s">
        <v>151</v>
      </c>
      <c r="F399" s="862"/>
      <c r="G399" s="298"/>
      <c r="H399" s="299">
        <f>SUM(H388:H398)</f>
        <v>11890000</v>
      </c>
      <c r="I399" s="300">
        <f>SUM(I388:I398)</f>
        <v>2439826.61</v>
      </c>
      <c r="J399" s="299">
        <f>SUM(J388:J398)</f>
        <v>606021.66</v>
      </c>
    </row>
    <row r="400" spans="1:10" s="289" customFormat="1" ht="24" x14ac:dyDescent="0.55000000000000004">
      <c r="A400" s="305"/>
      <c r="B400" s="306"/>
      <c r="C400" s="306"/>
      <c r="D400" s="306"/>
      <c r="E400" s="847"/>
      <c r="F400" s="848"/>
      <c r="G400" s="307"/>
      <c r="H400" s="299"/>
      <c r="I400" s="299"/>
      <c r="J400" s="299"/>
    </row>
    <row r="402" spans="1:10" s="289" customFormat="1" ht="24" x14ac:dyDescent="0.55000000000000004">
      <c r="A402" s="849"/>
      <c r="B402" s="849"/>
      <c r="C402" s="849"/>
      <c r="D402" s="849"/>
      <c r="G402" s="265"/>
      <c r="H402" s="258"/>
      <c r="I402" s="258"/>
      <c r="J402" s="258"/>
    </row>
    <row r="403" spans="1:10" s="289" customFormat="1" ht="24" x14ac:dyDescent="0.55000000000000004">
      <c r="A403" s="444"/>
      <c r="B403" s="444"/>
      <c r="C403" s="444"/>
      <c r="D403" s="444"/>
      <c r="H403" s="258"/>
      <c r="I403" s="258"/>
      <c r="J403" s="258"/>
    </row>
    <row r="404" spans="1:10" s="289" customFormat="1" ht="24" x14ac:dyDescent="0.55000000000000004">
      <c r="A404" s="444"/>
      <c r="B404" s="444"/>
      <c r="C404" s="444"/>
      <c r="D404" s="444"/>
      <c r="H404" s="258"/>
      <c r="I404" s="258"/>
      <c r="J404" s="258"/>
    </row>
    <row r="405" spans="1:10" s="289" customFormat="1" ht="24" x14ac:dyDescent="0.55000000000000004">
      <c r="A405" s="444"/>
      <c r="B405" s="444"/>
      <c r="C405" s="444"/>
      <c r="D405" s="444"/>
      <c r="H405" s="258"/>
      <c r="I405" s="258"/>
      <c r="J405" s="258"/>
    </row>
    <row r="406" spans="1:10" s="289" customFormat="1" ht="24" x14ac:dyDescent="0.55000000000000004">
      <c r="A406" s="444"/>
      <c r="B406" s="444"/>
      <c r="C406" s="444"/>
      <c r="D406" s="444"/>
      <c r="H406" s="258"/>
      <c r="I406" s="258"/>
      <c r="J406" s="258"/>
    </row>
    <row r="407" spans="1:10" s="289" customFormat="1" ht="24" x14ac:dyDescent="0.55000000000000004">
      <c r="A407" s="444"/>
      <c r="B407" s="444"/>
      <c r="C407" s="444"/>
      <c r="D407" s="444"/>
      <c r="H407" s="258"/>
      <c r="I407" s="258"/>
      <c r="J407" s="258"/>
    </row>
    <row r="408" spans="1:10" s="289" customFormat="1" ht="24" x14ac:dyDescent="0.55000000000000004">
      <c r="A408" s="444"/>
      <c r="B408" s="444"/>
      <c r="C408" s="444"/>
      <c r="D408" s="444"/>
      <c r="F408" s="444" t="s">
        <v>491</v>
      </c>
      <c r="H408" s="258"/>
      <c r="I408" s="258"/>
      <c r="J408" s="258"/>
    </row>
    <row r="409" spans="1:10" s="289" customFormat="1" ht="24" x14ac:dyDescent="0.55000000000000004">
      <c r="A409" s="444"/>
      <c r="B409" s="444"/>
      <c r="C409" s="444"/>
      <c r="D409" s="444"/>
      <c r="F409" s="444"/>
      <c r="H409" s="258"/>
      <c r="I409" s="258"/>
      <c r="J409" s="258"/>
    </row>
    <row r="410" spans="1:10" s="289" customFormat="1" ht="24" x14ac:dyDescent="0.55000000000000004">
      <c r="A410" s="850"/>
      <c r="B410" s="851"/>
      <c r="C410" s="851"/>
      <c r="D410" s="851"/>
      <c r="E410" s="851"/>
      <c r="F410" s="852"/>
      <c r="G410" s="411" t="s">
        <v>78</v>
      </c>
      <c r="H410" s="411" t="s">
        <v>6</v>
      </c>
      <c r="I410" s="261" t="s">
        <v>335</v>
      </c>
      <c r="J410" s="412" t="s">
        <v>336</v>
      </c>
    </row>
    <row r="411" spans="1:10" s="289" customFormat="1" ht="24" x14ac:dyDescent="0.55000000000000004">
      <c r="A411" s="301" t="s">
        <v>396</v>
      </c>
      <c r="B411" s="302"/>
      <c r="C411" s="271"/>
      <c r="D411" s="271"/>
      <c r="E411" s="271"/>
      <c r="F411" s="272"/>
      <c r="G411" s="298"/>
      <c r="H411" s="268"/>
      <c r="I411" s="269"/>
      <c r="J411" s="268"/>
    </row>
    <row r="412" spans="1:10" s="289" customFormat="1" ht="24" x14ac:dyDescent="0.55000000000000004">
      <c r="A412" s="270" t="s">
        <v>339</v>
      </c>
      <c r="B412" s="271" t="s">
        <v>469</v>
      </c>
      <c r="C412" s="271"/>
      <c r="D412" s="271"/>
      <c r="E412" s="271"/>
      <c r="F412" s="272"/>
      <c r="G412" s="273">
        <v>431002</v>
      </c>
      <c r="H412" s="274">
        <v>4750000</v>
      </c>
      <c r="I412" s="275">
        <v>976141</v>
      </c>
      <c r="J412" s="274"/>
    </row>
    <row r="413" spans="1:10" s="289" customFormat="1" ht="24" x14ac:dyDescent="0.55000000000000004">
      <c r="A413" s="397"/>
      <c r="B413" s="271" t="s">
        <v>470</v>
      </c>
      <c r="C413" s="271"/>
      <c r="D413" s="271"/>
      <c r="E413" s="392"/>
      <c r="F413" s="398"/>
      <c r="G413" s="298"/>
      <c r="H413" s="402"/>
      <c r="I413" s="402"/>
      <c r="J413" s="402"/>
    </row>
    <row r="414" spans="1:10" s="289" customFormat="1" ht="24" x14ac:dyDescent="0.55000000000000004">
      <c r="A414" s="397"/>
      <c r="B414" s="271" t="s">
        <v>483</v>
      </c>
      <c r="C414" s="271"/>
      <c r="D414" s="392"/>
      <c r="E414" s="392"/>
      <c r="F414" s="398"/>
      <c r="G414" s="298"/>
      <c r="H414" s="402"/>
      <c r="I414" s="407">
        <v>69514</v>
      </c>
      <c r="J414" s="407"/>
    </row>
    <row r="415" spans="1:10" s="289" customFormat="1" ht="24" x14ac:dyDescent="0.55000000000000004">
      <c r="A415" s="397"/>
      <c r="B415" s="271" t="s">
        <v>481</v>
      </c>
      <c r="C415" s="271"/>
      <c r="D415" s="392"/>
      <c r="E415" s="392"/>
      <c r="F415" s="398"/>
      <c r="G415" s="298"/>
      <c r="H415" s="402"/>
      <c r="I415" s="407">
        <v>244000</v>
      </c>
      <c r="J415" s="407"/>
    </row>
    <row r="416" spans="1:10" s="289" customFormat="1" ht="24" x14ac:dyDescent="0.55000000000000004">
      <c r="A416" s="397"/>
      <c r="B416" s="271" t="s">
        <v>487</v>
      </c>
      <c r="C416" s="271"/>
      <c r="D416" s="271"/>
      <c r="E416" s="271"/>
      <c r="F416" s="272"/>
      <c r="G416" s="298"/>
      <c r="H416" s="274"/>
      <c r="I416" s="275">
        <v>8000</v>
      </c>
      <c r="J416" s="274"/>
    </row>
    <row r="417" spans="1:11" s="289" customFormat="1" ht="24" x14ac:dyDescent="0.55000000000000004">
      <c r="A417" s="397"/>
      <c r="B417" s="291" t="s">
        <v>486</v>
      </c>
      <c r="C417" s="291"/>
      <c r="D417" s="291"/>
      <c r="E417" s="265"/>
      <c r="F417" s="266"/>
      <c r="G417" s="402"/>
      <c r="H417" s="274"/>
      <c r="I417" s="275">
        <v>52500</v>
      </c>
      <c r="J417" s="274"/>
    </row>
    <row r="418" spans="1:11" s="289" customFormat="1" ht="24" x14ac:dyDescent="0.55000000000000004">
      <c r="A418" s="397"/>
      <c r="B418" s="271" t="s">
        <v>482</v>
      </c>
      <c r="C418" s="271"/>
      <c r="D418" s="271"/>
      <c r="E418" s="392"/>
      <c r="F418" s="398"/>
      <c r="G418" s="402"/>
      <c r="H418" s="274"/>
      <c r="I418" s="275">
        <v>7500</v>
      </c>
      <c r="J418" s="274"/>
      <c r="K418" s="289">
        <v>3</v>
      </c>
    </row>
    <row r="419" spans="1:11" s="289" customFormat="1" ht="24" x14ac:dyDescent="0.55000000000000004">
      <c r="A419" s="397"/>
      <c r="B419" s="392"/>
      <c r="C419" s="392"/>
      <c r="D419" s="392"/>
      <c r="E419" s="392"/>
      <c r="F419" s="398"/>
      <c r="G419" s="402"/>
      <c r="H419" s="274"/>
      <c r="I419" s="275"/>
      <c r="J419" s="274"/>
    </row>
    <row r="420" spans="1:11" s="289" customFormat="1" ht="24" x14ac:dyDescent="0.55000000000000004">
      <c r="A420" s="397"/>
      <c r="B420" s="392"/>
      <c r="C420" s="392"/>
      <c r="D420" s="392"/>
      <c r="E420" s="392"/>
      <c r="F420" s="398"/>
      <c r="G420" s="402"/>
      <c r="H420" s="274"/>
      <c r="I420" s="275"/>
      <c r="J420" s="274"/>
    </row>
    <row r="421" spans="1:11" s="289" customFormat="1" ht="24" x14ac:dyDescent="0.55000000000000004">
      <c r="A421" s="397"/>
      <c r="B421" s="392"/>
      <c r="C421" s="392"/>
      <c r="D421" s="392"/>
      <c r="E421" s="392"/>
      <c r="F421" s="398"/>
      <c r="G421" s="402"/>
      <c r="H421" s="303"/>
      <c r="I421" s="399"/>
      <c r="J421" s="303"/>
    </row>
    <row r="422" spans="1:11" s="289" customFormat="1" ht="24" x14ac:dyDescent="0.55000000000000004">
      <c r="A422" s="305"/>
      <c r="B422" s="306"/>
      <c r="C422" s="306"/>
      <c r="D422" s="306"/>
      <c r="E422" s="847" t="s">
        <v>151</v>
      </c>
      <c r="F422" s="848"/>
      <c r="G422" s="307"/>
      <c r="H422" s="299">
        <f>SUM(H412)</f>
        <v>4750000</v>
      </c>
      <c r="I422" s="299">
        <f>SUM(I412:I421)</f>
        <v>1357655</v>
      </c>
      <c r="J422" s="299">
        <f>SUM(J412:J421)</f>
        <v>0</v>
      </c>
    </row>
    <row r="423" spans="1:11" s="289" customFormat="1" ht="24.75" thickBot="1" x14ac:dyDescent="0.6">
      <c r="A423" s="265"/>
      <c r="B423" s="265"/>
      <c r="C423" s="265"/>
      <c r="D423" s="265"/>
      <c r="E423" s="308"/>
      <c r="F423" s="308" t="s">
        <v>397</v>
      </c>
      <c r="G423" s="265"/>
      <c r="H423" s="309">
        <f>+H339+H363+H374+H378+H382+H386+H399+H422</f>
        <v>22000000</v>
      </c>
      <c r="I423" s="309">
        <f>+I339+I363+I374+I378+I382+I386+I399+I422</f>
        <v>3966370.73</v>
      </c>
      <c r="J423" s="309">
        <f t="shared" ref="J423" si="1">+J339+J363+J374+J378+J382+J386+J399+J422</f>
        <v>662663.46000000008</v>
      </c>
    </row>
    <row r="424" spans="1:11" ht="15" thickTop="1" x14ac:dyDescent="0.2"/>
    <row r="439" spans="1:10" s="289" customFormat="1" ht="24" x14ac:dyDescent="0.55000000000000004">
      <c r="A439" s="444"/>
      <c r="B439" s="444"/>
      <c r="C439" s="444"/>
      <c r="D439" s="444"/>
      <c r="E439" s="444"/>
      <c r="F439" s="390"/>
      <c r="G439" s="390"/>
      <c r="H439" s="390"/>
      <c r="I439" s="390"/>
      <c r="J439" s="258"/>
    </row>
    <row r="440" spans="1:10" s="289" customFormat="1" ht="24" x14ac:dyDescent="0.55000000000000004">
      <c r="A440" s="849"/>
      <c r="B440" s="849"/>
      <c r="C440" s="849"/>
      <c r="D440" s="849"/>
      <c r="E440" s="444"/>
      <c r="F440" s="390"/>
      <c r="G440" s="390"/>
      <c r="H440" s="390"/>
      <c r="I440" s="390"/>
      <c r="J440" s="258"/>
    </row>
    <row r="441" spans="1:10" s="312" customFormat="1" ht="24" x14ac:dyDescent="0.55000000000000004">
      <c r="A441" s="289"/>
      <c r="B441" s="289"/>
      <c r="C441" s="258"/>
      <c r="H441" s="313"/>
      <c r="I441" s="313"/>
      <c r="J441" s="313"/>
    </row>
    <row r="442" spans="1:10" s="289" customFormat="1" ht="24" x14ac:dyDescent="0.55000000000000004"/>
    <row r="443" spans="1:10" s="289" customFormat="1" ht="24" x14ac:dyDescent="0.55000000000000004"/>
    <row r="444" spans="1:10" s="312" customFormat="1" ht="24" x14ac:dyDescent="0.55000000000000004"/>
    <row r="445" spans="1:10" s="312" customFormat="1" ht="24" x14ac:dyDescent="0.55000000000000004">
      <c r="H445" s="313"/>
      <c r="I445" s="313"/>
      <c r="J445" s="313"/>
    </row>
    <row r="446" spans="1:10" s="312" customFormat="1" ht="24" x14ac:dyDescent="0.55000000000000004">
      <c r="H446" s="313"/>
      <c r="I446" s="313"/>
      <c r="J446" s="313"/>
    </row>
    <row r="447" spans="1:10" s="312" customFormat="1" ht="24" x14ac:dyDescent="0.55000000000000004">
      <c r="H447" s="313"/>
      <c r="I447" s="313"/>
      <c r="J447" s="313"/>
    </row>
    <row r="448" spans="1:10" s="312" customFormat="1" ht="24" x14ac:dyDescent="0.55000000000000004">
      <c r="H448" s="313"/>
      <c r="I448" s="313"/>
      <c r="J448" s="313"/>
    </row>
    <row r="449" spans="1:10" s="312" customFormat="1" ht="24" x14ac:dyDescent="0.55000000000000004">
      <c r="H449" s="313"/>
      <c r="I449" s="313"/>
      <c r="J449" s="313"/>
    </row>
    <row r="450" spans="1:10" s="312" customFormat="1" ht="24" x14ac:dyDescent="0.55000000000000004">
      <c r="H450" s="313"/>
      <c r="I450" s="313"/>
      <c r="J450" s="313"/>
    </row>
    <row r="451" spans="1:10" x14ac:dyDescent="0.2">
      <c r="F451" s="445" t="s">
        <v>492</v>
      </c>
    </row>
    <row r="453" spans="1:10" ht="24" x14ac:dyDescent="0.55000000000000004">
      <c r="A453" s="850"/>
      <c r="B453" s="851"/>
      <c r="C453" s="851"/>
      <c r="D453" s="851"/>
      <c r="E453" s="851"/>
      <c r="F453" s="852"/>
      <c r="G453" s="411" t="s">
        <v>78</v>
      </c>
      <c r="H453" s="411" t="s">
        <v>6</v>
      </c>
      <c r="I453" s="261" t="s">
        <v>335</v>
      </c>
      <c r="J453" s="412" t="s">
        <v>336</v>
      </c>
    </row>
    <row r="454" spans="1:10" ht="24" x14ac:dyDescent="0.55000000000000004">
      <c r="A454" s="405" t="s">
        <v>477</v>
      </c>
      <c r="B454" s="406"/>
      <c r="C454" s="291"/>
      <c r="D454" s="291"/>
      <c r="E454" s="291"/>
      <c r="F454" s="292"/>
      <c r="G454" s="402"/>
      <c r="H454" s="268"/>
      <c r="I454" s="269"/>
      <c r="J454" s="268"/>
    </row>
    <row r="455" spans="1:10" ht="24" x14ac:dyDescent="0.55000000000000004">
      <c r="A455" s="270" t="s">
        <v>339</v>
      </c>
      <c r="B455" s="271" t="s">
        <v>476</v>
      </c>
      <c r="C455" s="271"/>
      <c r="D455" s="271"/>
      <c r="E455" s="271"/>
      <c r="F455" s="272"/>
      <c r="G455" s="273"/>
      <c r="H455" s="274"/>
      <c r="I455" s="275"/>
      <c r="J455" s="274"/>
    </row>
    <row r="456" spans="1:10" ht="24" x14ac:dyDescent="0.55000000000000004">
      <c r="A456" s="270"/>
      <c r="B456" s="271" t="s">
        <v>484</v>
      </c>
      <c r="C456" s="271"/>
      <c r="D456" s="271"/>
      <c r="E456" s="271"/>
      <c r="F456" s="272"/>
      <c r="G456" s="273"/>
      <c r="H456" s="274"/>
      <c r="I456" s="275">
        <v>1011900</v>
      </c>
      <c r="J456" s="274"/>
    </row>
    <row r="457" spans="1:10" ht="24" x14ac:dyDescent="0.55000000000000004">
      <c r="A457" s="270"/>
      <c r="B457" s="271" t="s">
        <v>485</v>
      </c>
      <c r="C457" s="271"/>
      <c r="D457" s="271"/>
      <c r="E457" s="271"/>
      <c r="F457" s="272"/>
      <c r="G457" s="273"/>
      <c r="H457" s="274"/>
      <c r="I457" s="275">
        <v>1368000</v>
      </c>
      <c r="J457" s="274"/>
    </row>
    <row r="458" spans="1:10" ht="24" x14ac:dyDescent="0.55000000000000004">
      <c r="A458" s="270"/>
      <c r="B458" s="302" t="s">
        <v>488</v>
      </c>
      <c r="C458" s="302"/>
      <c r="D458" s="302"/>
      <c r="E458" s="271"/>
      <c r="F458" s="272"/>
      <c r="G458" s="273"/>
      <c r="H458" s="274"/>
      <c r="I458" s="275"/>
      <c r="J458" s="274"/>
    </row>
    <row r="459" spans="1:10" ht="24" x14ac:dyDescent="0.55000000000000004">
      <c r="A459" s="270"/>
      <c r="B459" s="271" t="s">
        <v>478</v>
      </c>
      <c r="C459" s="271"/>
      <c r="D459" s="271"/>
      <c r="E459" s="271"/>
      <c r="F459" s="272"/>
      <c r="G459" s="273"/>
      <c r="H459" s="274"/>
      <c r="I459" s="275">
        <v>50400</v>
      </c>
      <c r="J459" s="274"/>
    </row>
    <row r="460" spans="1:10" ht="24" x14ac:dyDescent="0.55000000000000004">
      <c r="A460" s="270"/>
      <c r="B460" s="271" t="s">
        <v>479</v>
      </c>
      <c r="C460" s="271"/>
      <c r="D460" s="271"/>
      <c r="E460" s="271"/>
      <c r="F460" s="272"/>
      <c r="G460" s="273"/>
      <c r="H460" s="274"/>
      <c r="I460" s="275">
        <v>118290</v>
      </c>
      <c r="J460" s="274"/>
    </row>
    <row r="461" spans="1:10" ht="24" x14ac:dyDescent="0.55000000000000004">
      <c r="A461" s="270"/>
      <c r="B461" s="271" t="s">
        <v>522</v>
      </c>
      <c r="C461" s="271"/>
      <c r="D461" s="271"/>
      <c r="E461" s="271"/>
      <c r="F461" s="272"/>
      <c r="G461" s="273"/>
      <c r="H461" s="274"/>
      <c r="I461" s="275">
        <f>21800+68400</f>
        <v>90200</v>
      </c>
      <c r="J461" s="274"/>
    </row>
    <row r="462" spans="1:10" ht="24" x14ac:dyDescent="0.55000000000000004">
      <c r="A462" s="270"/>
      <c r="B462" s="271" t="s">
        <v>521</v>
      </c>
      <c r="C462" s="271"/>
      <c r="D462" s="271"/>
      <c r="E462" s="271"/>
      <c r="F462" s="272"/>
      <c r="G462" s="273"/>
      <c r="H462" s="274"/>
      <c r="I462" s="275">
        <f>1090+3420</f>
        <v>4510</v>
      </c>
      <c r="J462" s="274"/>
    </row>
    <row r="463" spans="1:10" ht="24" x14ac:dyDescent="0.55000000000000004">
      <c r="A463" s="270"/>
      <c r="B463" s="271" t="s">
        <v>489</v>
      </c>
      <c r="C463" s="271"/>
      <c r="D463" s="271"/>
      <c r="E463" s="271"/>
      <c r="F463" s="272"/>
      <c r="G463" s="273"/>
      <c r="H463" s="274"/>
      <c r="I463" s="275"/>
      <c r="J463" s="274"/>
    </row>
    <row r="464" spans="1:10" ht="24" x14ac:dyDescent="0.55000000000000004">
      <c r="A464" s="270"/>
      <c r="B464" s="271" t="s">
        <v>490</v>
      </c>
      <c r="C464" s="271"/>
      <c r="D464" s="271"/>
      <c r="E464" s="271"/>
      <c r="F464" s="272"/>
      <c r="G464" s="273"/>
      <c r="H464" s="274"/>
      <c r="I464" s="275"/>
      <c r="J464" s="274"/>
    </row>
    <row r="465" spans="1:10" ht="24" x14ac:dyDescent="0.55000000000000004">
      <c r="A465" s="270"/>
      <c r="B465" s="271"/>
      <c r="C465" s="271"/>
      <c r="D465" s="271"/>
      <c r="E465" s="271"/>
      <c r="F465" s="272"/>
      <c r="G465" s="273"/>
      <c r="H465" s="274"/>
      <c r="I465" s="275"/>
      <c r="J465" s="274"/>
    </row>
    <row r="466" spans="1:10" ht="24" x14ac:dyDescent="0.55000000000000004">
      <c r="A466" s="270"/>
      <c r="B466" s="410"/>
      <c r="C466" s="404"/>
      <c r="D466" s="271"/>
      <c r="E466" s="271"/>
      <c r="F466" s="272"/>
      <c r="G466" s="273"/>
      <c r="H466" s="274"/>
      <c r="I466" s="275"/>
      <c r="J466" s="274"/>
    </row>
    <row r="467" spans="1:10" ht="24" x14ac:dyDescent="0.55000000000000004">
      <c r="A467" s="270"/>
      <c r="B467" s="271"/>
      <c r="C467" s="271"/>
      <c r="D467" s="271"/>
      <c r="E467" s="271"/>
      <c r="F467" s="272"/>
      <c r="G467" s="273"/>
      <c r="H467" s="274"/>
      <c r="I467" s="275"/>
      <c r="J467" s="274"/>
    </row>
    <row r="468" spans="1:10" ht="24" x14ac:dyDescent="0.55000000000000004">
      <c r="A468" s="270"/>
      <c r="B468" s="271"/>
      <c r="C468" s="271"/>
      <c r="D468" s="271"/>
      <c r="E468" s="271"/>
      <c r="F468" s="272"/>
      <c r="G468" s="273"/>
      <c r="H468" s="274"/>
      <c r="I468" s="275"/>
      <c r="J468" s="274"/>
    </row>
    <row r="469" spans="1:10" ht="24" x14ac:dyDescent="0.55000000000000004">
      <c r="A469" s="305"/>
      <c r="B469" s="306"/>
      <c r="C469" s="306"/>
      <c r="D469" s="306"/>
      <c r="E469" s="847" t="s">
        <v>151</v>
      </c>
      <c r="F469" s="848"/>
      <c r="G469" s="307"/>
      <c r="H469" s="299">
        <f>SUM(H456:H468)</f>
        <v>0</v>
      </c>
      <c r="I469" s="299">
        <f>SUM(I456:I468)</f>
        <v>2643300</v>
      </c>
      <c r="J469" s="299">
        <f>SUM(J454:J468)</f>
        <v>0</v>
      </c>
    </row>
    <row r="470" spans="1:10" ht="24.75" thickBot="1" x14ac:dyDescent="0.6">
      <c r="A470" s="428"/>
      <c r="B470" s="265"/>
      <c r="C470" s="265"/>
      <c r="D470" s="265"/>
      <c r="E470" s="420" t="s">
        <v>506</v>
      </c>
      <c r="G470" s="265"/>
      <c r="H470" s="425">
        <f>SUM(H469)</f>
        <v>0</v>
      </c>
      <c r="I470" s="425">
        <f>SUM(I469)</f>
        <v>2643300</v>
      </c>
      <c r="J470" s="425">
        <f>SUM(J469)</f>
        <v>0</v>
      </c>
    </row>
    <row r="471" spans="1:10" ht="24" x14ac:dyDescent="0.55000000000000004">
      <c r="A471" s="421"/>
      <c r="B471" s="422"/>
      <c r="C471" s="422"/>
      <c r="D471" s="422"/>
      <c r="E471" s="423" t="s">
        <v>507</v>
      </c>
      <c r="F471" s="161"/>
      <c r="G471" s="424"/>
      <c r="H471" s="426"/>
      <c r="I471" s="426">
        <f>+I470+I423</f>
        <v>6609670.7300000004</v>
      </c>
      <c r="J471" s="427">
        <f>+J470+J423</f>
        <v>662663.46000000008</v>
      </c>
    </row>
    <row r="483" spans="1:10" ht="24" x14ac:dyDescent="0.55000000000000004">
      <c r="A483" s="400" t="s">
        <v>471</v>
      </c>
      <c r="B483" s="400"/>
      <c r="C483" s="400"/>
      <c r="D483" s="400"/>
      <c r="E483" s="400"/>
      <c r="F483" s="400" t="s">
        <v>509</v>
      </c>
      <c r="G483" s="401"/>
      <c r="H483" s="401"/>
      <c r="I483" s="258" t="s">
        <v>474</v>
      </c>
      <c r="J483" s="258"/>
    </row>
    <row r="484" spans="1:10" ht="24" x14ac:dyDescent="0.55000000000000004">
      <c r="A484" s="400" t="s">
        <v>472</v>
      </c>
      <c r="B484" s="400"/>
      <c r="C484" s="400"/>
      <c r="D484" s="400"/>
      <c r="E484" s="400"/>
      <c r="F484" s="400" t="s">
        <v>510</v>
      </c>
      <c r="G484" s="401"/>
      <c r="H484" s="401"/>
      <c r="I484" s="258" t="s">
        <v>473</v>
      </c>
      <c r="J484" s="258"/>
    </row>
    <row r="485" spans="1:10" ht="24" x14ac:dyDescent="0.55000000000000004">
      <c r="A485" s="312"/>
      <c r="B485" s="312"/>
      <c r="C485" s="312"/>
      <c r="D485" s="312"/>
      <c r="E485" s="312"/>
      <c r="F485" s="400" t="s">
        <v>475</v>
      </c>
      <c r="G485" s="401"/>
      <c r="H485" s="401"/>
      <c r="I485" s="313"/>
      <c r="J485" s="313"/>
    </row>
    <row r="496" spans="1:10" s="259" customFormat="1" ht="24" x14ac:dyDescent="0.55000000000000004">
      <c r="A496" s="853" t="s">
        <v>76</v>
      </c>
      <c r="B496" s="853"/>
      <c r="C496" s="853"/>
      <c r="D496" s="853"/>
      <c r="E496" s="853"/>
      <c r="F496" s="853"/>
      <c r="G496" s="853"/>
      <c r="H496" s="853"/>
      <c r="I496" s="853"/>
      <c r="J496" s="853"/>
    </row>
    <row r="497" spans="1:10" s="259" customFormat="1" ht="24" x14ac:dyDescent="0.55000000000000004">
      <c r="A497" s="853" t="s">
        <v>334</v>
      </c>
      <c r="B497" s="853"/>
      <c r="C497" s="853"/>
      <c r="D497" s="853"/>
      <c r="E497" s="853"/>
      <c r="F497" s="853"/>
      <c r="G497" s="853"/>
      <c r="H497" s="853"/>
      <c r="I497" s="853"/>
      <c r="J497" s="853"/>
    </row>
    <row r="498" spans="1:10" s="259" customFormat="1" ht="24" x14ac:dyDescent="0.55000000000000004">
      <c r="A498" s="854" t="s">
        <v>536</v>
      </c>
      <c r="B498" s="854"/>
      <c r="C498" s="854"/>
      <c r="D498" s="854"/>
      <c r="E498" s="854"/>
      <c r="F498" s="854"/>
      <c r="G498" s="854"/>
      <c r="H498" s="854"/>
      <c r="I498" s="854"/>
      <c r="J498" s="854"/>
    </row>
    <row r="499" spans="1:10" s="259" customFormat="1" ht="24" x14ac:dyDescent="0.55000000000000004">
      <c r="A499" s="855"/>
      <c r="B499" s="856"/>
      <c r="C499" s="856"/>
      <c r="D499" s="856"/>
      <c r="E499" s="856"/>
      <c r="F499" s="857"/>
      <c r="G499" s="260" t="s">
        <v>78</v>
      </c>
      <c r="H499" s="260" t="s">
        <v>6</v>
      </c>
      <c r="I499" s="261" t="s">
        <v>335</v>
      </c>
      <c r="J499" s="262" t="s">
        <v>336</v>
      </c>
    </row>
    <row r="500" spans="1:10" s="259" customFormat="1" ht="24" x14ac:dyDescent="0.55000000000000004">
      <c r="A500" s="263" t="s">
        <v>337</v>
      </c>
      <c r="B500" s="264"/>
      <c r="C500" s="265"/>
      <c r="D500" s="265"/>
      <c r="E500" s="265"/>
      <c r="F500" s="266"/>
      <c r="G500" s="267"/>
      <c r="H500" s="268"/>
      <c r="I500" s="269"/>
      <c r="J500" s="268"/>
    </row>
    <row r="501" spans="1:10" s="259" customFormat="1" ht="24" x14ac:dyDescent="0.55000000000000004">
      <c r="A501" s="263" t="s">
        <v>338</v>
      </c>
      <c r="B501" s="264"/>
      <c r="C501" s="265"/>
      <c r="D501" s="265"/>
      <c r="E501" s="265"/>
      <c r="F501" s="266"/>
      <c r="G501" s="267"/>
      <c r="H501" s="268"/>
      <c r="I501" s="269"/>
      <c r="J501" s="268"/>
    </row>
    <row r="502" spans="1:10" s="259" customFormat="1" ht="24" x14ac:dyDescent="0.55000000000000004">
      <c r="A502" s="270" t="s">
        <v>339</v>
      </c>
      <c r="B502" s="271" t="s">
        <v>340</v>
      </c>
      <c r="C502" s="271"/>
      <c r="D502" s="271"/>
      <c r="E502" s="271"/>
      <c r="F502" s="272"/>
      <c r="G502" s="273">
        <v>411001</v>
      </c>
      <c r="H502" s="274">
        <v>3900000</v>
      </c>
      <c r="I502" s="275">
        <v>0</v>
      </c>
      <c r="J502" s="274">
        <v>0</v>
      </c>
    </row>
    <row r="503" spans="1:10" s="259" customFormat="1" ht="24" x14ac:dyDescent="0.55000000000000004">
      <c r="A503" s="270" t="s">
        <v>341</v>
      </c>
      <c r="B503" s="271" t="s">
        <v>342</v>
      </c>
      <c r="C503" s="271"/>
      <c r="D503" s="271"/>
      <c r="E503" s="271"/>
      <c r="F503" s="272"/>
      <c r="G503" s="273">
        <v>411002</v>
      </c>
      <c r="H503" s="274">
        <v>50000</v>
      </c>
      <c r="I503" s="275">
        <f>222.3+653.6+2296.15</f>
        <v>3172.05</v>
      </c>
      <c r="J503" s="274">
        <v>2296.15</v>
      </c>
    </row>
    <row r="504" spans="1:10" s="259" customFormat="1" ht="24" x14ac:dyDescent="0.55000000000000004">
      <c r="A504" s="270" t="s">
        <v>343</v>
      </c>
      <c r="B504" s="271" t="s">
        <v>344</v>
      </c>
      <c r="C504" s="271"/>
      <c r="D504" s="271"/>
      <c r="E504" s="271"/>
      <c r="F504" s="272"/>
      <c r="G504" s="273">
        <v>411003</v>
      </c>
      <c r="H504" s="274">
        <v>20000</v>
      </c>
      <c r="I504" s="275"/>
      <c r="J504" s="274"/>
    </row>
    <row r="505" spans="1:10" s="259" customFormat="1" ht="24" x14ac:dyDescent="0.55000000000000004">
      <c r="A505" s="270" t="s">
        <v>345</v>
      </c>
      <c r="B505" s="271" t="s">
        <v>346</v>
      </c>
      <c r="C505" s="271"/>
      <c r="D505" s="271"/>
      <c r="E505" s="271"/>
      <c r="F505" s="272"/>
      <c r="G505" s="273">
        <v>411004</v>
      </c>
      <c r="H505" s="274">
        <v>0</v>
      </c>
      <c r="I505" s="275"/>
      <c r="J505" s="274"/>
    </row>
    <row r="506" spans="1:10" s="259" customFormat="1" ht="24" x14ac:dyDescent="0.55000000000000004">
      <c r="A506" s="270" t="s">
        <v>347</v>
      </c>
      <c r="B506" s="271" t="s">
        <v>348</v>
      </c>
      <c r="C506" s="271"/>
      <c r="D506" s="271"/>
      <c r="E506" s="271"/>
      <c r="F506" s="272"/>
      <c r="G506" s="273">
        <v>411005</v>
      </c>
      <c r="H506" s="276">
        <v>100000</v>
      </c>
      <c r="I506" s="277">
        <v>24629.02</v>
      </c>
      <c r="J506" s="276">
        <v>0</v>
      </c>
    </row>
    <row r="507" spans="1:10" s="259" customFormat="1" ht="24" x14ac:dyDescent="0.55000000000000004">
      <c r="A507" s="270"/>
      <c r="B507" s="271"/>
      <c r="C507" s="271"/>
      <c r="D507" s="271"/>
      <c r="E507" s="271"/>
      <c r="F507" s="272"/>
      <c r="G507" s="273"/>
      <c r="H507" s="299">
        <f>SUM(H502:H506)</f>
        <v>4070000</v>
      </c>
      <c r="I507" s="300">
        <f>SUM(I502:I506)</f>
        <v>27801.07</v>
      </c>
      <c r="J507" s="299">
        <f>SUM(J502:J506)</f>
        <v>2296.15</v>
      </c>
    </row>
    <row r="508" spans="1:10" s="259" customFormat="1" ht="24" x14ac:dyDescent="0.55000000000000004">
      <c r="A508" s="263" t="s">
        <v>349</v>
      </c>
      <c r="B508" s="278"/>
      <c r="C508" s="278"/>
      <c r="D508" s="278"/>
      <c r="E508" s="279"/>
      <c r="F508" s="280"/>
      <c r="G508" s="281"/>
      <c r="H508" s="282"/>
      <c r="I508" s="283"/>
      <c r="J508" s="268"/>
    </row>
    <row r="509" spans="1:10" s="259" customFormat="1" ht="24" x14ac:dyDescent="0.55000000000000004">
      <c r="A509" s="270" t="s">
        <v>339</v>
      </c>
      <c r="B509" s="271" t="s">
        <v>350</v>
      </c>
      <c r="C509" s="284"/>
      <c r="D509" s="284"/>
      <c r="E509" s="284"/>
      <c r="F509" s="285"/>
      <c r="G509" s="286">
        <v>412103</v>
      </c>
      <c r="H509" s="287">
        <v>500</v>
      </c>
      <c r="I509" s="288">
        <f>155.2+252.2</f>
        <v>407.4</v>
      </c>
      <c r="J509" s="274">
        <v>252.2</v>
      </c>
    </row>
    <row r="510" spans="1:10" s="259" customFormat="1" ht="24" x14ac:dyDescent="0.55000000000000004">
      <c r="A510" s="270" t="s">
        <v>341</v>
      </c>
      <c r="B510" s="271" t="s">
        <v>351</v>
      </c>
      <c r="C510" s="284"/>
      <c r="D510" s="284"/>
      <c r="E510" s="284"/>
      <c r="F510" s="285"/>
      <c r="G510" s="286">
        <v>412104</v>
      </c>
      <c r="H510" s="287">
        <v>500</v>
      </c>
      <c r="I510" s="288"/>
      <c r="J510" s="274"/>
    </row>
    <row r="511" spans="1:10" s="259" customFormat="1" ht="24" x14ac:dyDescent="0.55000000000000004">
      <c r="A511" s="270" t="s">
        <v>343</v>
      </c>
      <c r="B511" s="271" t="s">
        <v>352</v>
      </c>
      <c r="C511" s="284"/>
      <c r="D511" s="284"/>
      <c r="E511" s="284"/>
      <c r="F511" s="285"/>
      <c r="G511" s="286">
        <v>4120106</v>
      </c>
      <c r="H511" s="287">
        <v>20000</v>
      </c>
      <c r="I511" s="288">
        <f>292+24+164+2398</f>
        <v>2878</v>
      </c>
      <c r="J511" s="274">
        <v>2398</v>
      </c>
    </row>
    <row r="512" spans="1:10" s="259" customFormat="1" ht="24" x14ac:dyDescent="0.55000000000000004">
      <c r="A512" s="270" t="s">
        <v>345</v>
      </c>
      <c r="B512" s="271" t="s">
        <v>456</v>
      </c>
      <c r="C512" s="284"/>
      <c r="D512" s="284"/>
      <c r="E512" s="284"/>
      <c r="F512" s="285"/>
      <c r="G512" s="286"/>
      <c r="H512" s="287">
        <v>500</v>
      </c>
      <c r="I512" s="288"/>
      <c r="J512" s="274"/>
    </row>
    <row r="513" spans="1:11" s="259" customFormat="1" ht="24" x14ac:dyDescent="0.55000000000000004">
      <c r="A513" s="270" t="s">
        <v>347</v>
      </c>
      <c r="B513" s="271" t="s">
        <v>457</v>
      </c>
      <c r="C513" s="284"/>
      <c r="D513" s="284"/>
      <c r="E513" s="284"/>
      <c r="F513" s="285"/>
      <c r="G513" s="286"/>
      <c r="H513" s="287">
        <v>500</v>
      </c>
      <c r="I513" s="288"/>
      <c r="J513" s="274"/>
    </row>
    <row r="514" spans="1:11" s="259" customFormat="1" ht="24" x14ac:dyDescent="0.55000000000000004">
      <c r="A514" s="270"/>
      <c r="B514" s="271" t="s">
        <v>458</v>
      </c>
      <c r="C514" s="284"/>
      <c r="D514" s="284"/>
      <c r="E514" s="284"/>
      <c r="F514" s="285"/>
      <c r="G514" s="286"/>
      <c r="H514" s="287"/>
      <c r="I514" s="288"/>
      <c r="J514" s="274"/>
    </row>
    <row r="515" spans="1:11" s="259" customFormat="1" ht="24" x14ac:dyDescent="0.55000000000000004">
      <c r="A515" s="270" t="s">
        <v>355</v>
      </c>
      <c r="B515" s="271" t="s">
        <v>459</v>
      </c>
      <c r="C515" s="284"/>
      <c r="D515" s="284"/>
      <c r="E515" s="284"/>
      <c r="F515" s="285"/>
      <c r="G515" s="286"/>
      <c r="H515" s="287">
        <v>500</v>
      </c>
      <c r="I515" s="288"/>
      <c r="J515" s="274"/>
    </row>
    <row r="516" spans="1:11" s="259" customFormat="1" ht="24" x14ac:dyDescent="0.55000000000000004">
      <c r="A516" s="270"/>
      <c r="B516" s="271" t="s">
        <v>460</v>
      </c>
      <c r="C516" s="284"/>
      <c r="D516" s="284"/>
      <c r="E516" s="284"/>
      <c r="F516" s="285"/>
      <c r="G516" s="286"/>
      <c r="H516" s="287"/>
      <c r="I516" s="288"/>
      <c r="J516" s="274"/>
    </row>
    <row r="517" spans="1:11" s="289" customFormat="1" ht="24" x14ac:dyDescent="0.55000000000000004">
      <c r="A517" s="290" t="s">
        <v>357</v>
      </c>
      <c r="B517" s="271" t="s">
        <v>353</v>
      </c>
      <c r="C517" s="271"/>
      <c r="D517" s="271"/>
      <c r="E517" s="271"/>
      <c r="F517" s="272"/>
      <c r="G517" s="286">
        <v>412128</v>
      </c>
      <c r="H517" s="274">
        <v>1000</v>
      </c>
      <c r="I517" s="275">
        <f>50+50+50+100</f>
        <v>250</v>
      </c>
      <c r="J517" s="274">
        <v>100</v>
      </c>
    </row>
    <row r="518" spans="1:11" s="289" customFormat="1" ht="24" x14ac:dyDescent="0.55000000000000004">
      <c r="A518" s="290" t="s">
        <v>359</v>
      </c>
      <c r="B518" s="271" t="s">
        <v>461</v>
      </c>
      <c r="C518" s="271"/>
      <c r="D518" s="271"/>
      <c r="E518" s="271"/>
      <c r="F518" s="272"/>
      <c r="G518" s="286"/>
      <c r="H518" s="274">
        <v>500</v>
      </c>
      <c r="I518" s="275"/>
      <c r="J518" s="274"/>
      <c r="K518" s="289">
        <v>1</v>
      </c>
    </row>
    <row r="519" spans="1:11" s="289" customFormat="1" ht="24" x14ac:dyDescent="0.55000000000000004">
      <c r="A519" s="270" t="s">
        <v>361</v>
      </c>
      <c r="B519" s="271" t="s">
        <v>354</v>
      </c>
      <c r="C519" s="271"/>
      <c r="D519" s="271"/>
      <c r="E519" s="271"/>
      <c r="F519" s="272"/>
      <c r="G519" s="286">
        <v>412199</v>
      </c>
      <c r="H519" s="274">
        <v>1500</v>
      </c>
      <c r="I519" s="275">
        <f>200+10</f>
        <v>210</v>
      </c>
      <c r="J519" s="274">
        <v>10</v>
      </c>
    </row>
    <row r="520" spans="1:11" s="289" customFormat="1" ht="24" x14ac:dyDescent="0.55000000000000004">
      <c r="A520" s="270" t="s">
        <v>363</v>
      </c>
      <c r="B520" s="271" t="s">
        <v>356</v>
      </c>
      <c r="C520" s="271"/>
      <c r="D520" s="271"/>
      <c r="E520" s="271"/>
      <c r="F520" s="272"/>
      <c r="G520" s="286"/>
      <c r="H520" s="274">
        <v>1500</v>
      </c>
      <c r="I520" s="275">
        <f>200+650+200+450</f>
        <v>1500</v>
      </c>
      <c r="J520" s="274">
        <v>450</v>
      </c>
    </row>
    <row r="521" spans="1:11" s="289" customFormat="1" ht="24" x14ac:dyDescent="0.55000000000000004">
      <c r="A521" s="270" t="s">
        <v>365</v>
      </c>
      <c r="B521" s="271" t="s">
        <v>358</v>
      </c>
      <c r="C521" s="271"/>
      <c r="D521" s="271"/>
      <c r="E521" s="271"/>
      <c r="F521" s="272"/>
      <c r="G521" s="286"/>
      <c r="H521" s="274">
        <v>50000</v>
      </c>
      <c r="I521" s="275"/>
      <c r="J521" s="274"/>
    </row>
    <row r="522" spans="1:11" s="289" customFormat="1" ht="24" x14ac:dyDescent="0.55000000000000004">
      <c r="A522" s="270" t="s">
        <v>367</v>
      </c>
      <c r="B522" s="271" t="s">
        <v>360</v>
      </c>
      <c r="C522" s="271"/>
      <c r="D522" s="271"/>
      <c r="E522" s="271"/>
      <c r="F522" s="272"/>
      <c r="G522" s="286">
        <v>412211</v>
      </c>
      <c r="H522" s="274">
        <v>500</v>
      </c>
      <c r="I522" s="275"/>
      <c r="J522" s="274"/>
    </row>
    <row r="523" spans="1:11" s="291" customFormat="1" ht="24" x14ac:dyDescent="0.55000000000000004">
      <c r="A523" s="270" t="s">
        <v>369</v>
      </c>
      <c r="B523" s="291" t="s">
        <v>362</v>
      </c>
      <c r="F523" s="292"/>
      <c r="G523" s="293">
        <v>412299</v>
      </c>
      <c r="H523" s="294">
        <v>500</v>
      </c>
      <c r="I523" s="295"/>
      <c r="J523" s="294"/>
    </row>
    <row r="524" spans="1:11" s="265" customFormat="1" ht="24" x14ac:dyDescent="0.55000000000000004">
      <c r="A524" s="270" t="s">
        <v>371</v>
      </c>
      <c r="B524" s="291" t="s">
        <v>462</v>
      </c>
      <c r="C524" s="291"/>
      <c r="D524" s="291"/>
      <c r="E524" s="291"/>
      <c r="F524" s="292"/>
      <c r="G524" s="293"/>
      <c r="H524" s="294">
        <v>500</v>
      </c>
      <c r="I524" s="295"/>
      <c r="J524" s="268"/>
    </row>
    <row r="525" spans="1:11" s="289" customFormat="1" ht="24" x14ac:dyDescent="0.55000000000000004">
      <c r="A525" s="270" t="s">
        <v>373</v>
      </c>
      <c r="B525" s="291" t="s">
        <v>364</v>
      </c>
      <c r="C525" s="291"/>
      <c r="D525" s="291"/>
      <c r="E525" s="291"/>
      <c r="F525" s="292"/>
      <c r="G525" s="296">
        <v>412303</v>
      </c>
      <c r="H525" s="294">
        <v>500</v>
      </c>
      <c r="I525" s="295"/>
      <c r="J525" s="268"/>
    </row>
    <row r="526" spans="1:11" s="289" customFormat="1" ht="24" x14ac:dyDescent="0.55000000000000004">
      <c r="A526" s="270" t="s">
        <v>463</v>
      </c>
      <c r="B526" s="271" t="s">
        <v>366</v>
      </c>
      <c r="C526" s="271"/>
      <c r="D526" s="271"/>
      <c r="E526" s="271"/>
      <c r="F526" s="272"/>
      <c r="G526" s="273">
        <v>412304</v>
      </c>
      <c r="H526" s="274">
        <v>500</v>
      </c>
      <c r="I526" s="275"/>
      <c r="J526" s="274"/>
    </row>
    <row r="527" spans="1:11" s="289" customFormat="1" ht="24" x14ac:dyDescent="0.55000000000000004">
      <c r="A527" s="270" t="s">
        <v>464</v>
      </c>
      <c r="B527" s="271" t="s">
        <v>368</v>
      </c>
      <c r="C527" s="271"/>
      <c r="D527" s="271"/>
      <c r="E527" s="271"/>
      <c r="F527" s="272"/>
      <c r="G527" s="273">
        <v>412305</v>
      </c>
      <c r="H527" s="274">
        <v>500</v>
      </c>
      <c r="I527" s="275"/>
      <c r="J527" s="274"/>
    </row>
    <row r="528" spans="1:11" s="289" customFormat="1" ht="24" x14ac:dyDescent="0.55000000000000004">
      <c r="A528" s="270" t="s">
        <v>465</v>
      </c>
      <c r="B528" s="271" t="s">
        <v>370</v>
      </c>
      <c r="C528" s="271"/>
      <c r="D528" s="271"/>
      <c r="E528" s="271"/>
      <c r="F528" s="272"/>
      <c r="G528" s="273">
        <v>412306</v>
      </c>
      <c r="H528" s="276">
        <v>500</v>
      </c>
      <c r="I528" s="277"/>
      <c r="J528" s="274"/>
    </row>
    <row r="529" spans="1:10" s="289" customFormat="1" ht="24" x14ac:dyDescent="0.55000000000000004">
      <c r="A529" s="270" t="s">
        <v>466</v>
      </c>
      <c r="B529" s="271" t="s">
        <v>372</v>
      </c>
      <c r="C529" s="271"/>
      <c r="D529" s="271"/>
      <c r="E529" s="271"/>
      <c r="F529" s="272"/>
      <c r="G529" s="273">
        <v>412307</v>
      </c>
      <c r="H529" s="276">
        <v>2000</v>
      </c>
      <c r="I529" s="277">
        <f>20+20+40+80</f>
        <v>160</v>
      </c>
      <c r="J529" s="274">
        <v>80</v>
      </c>
    </row>
    <row r="530" spans="1:10" s="289" customFormat="1" ht="24" x14ac:dyDescent="0.55000000000000004">
      <c r="A530" s="270" t="s">
        <v>467</v>
      </c>
      <c r="B530" s="271" t="s">
        <v>374</v>
      </c>
      <c r="C530" s="271"/>
      <c r="D530" s="271"/>
      <c r="E530" s="271"/>
      <c r="F530" s="272"/>
      <c r="G530" s="273">
        <v>412399</v>
      </c>
      <c r="H530" s="276">
        <v>500</v>
      </c>
      <c r="I530" s="277">
        <f>70+30+20</f>
        <v>120</v>
      </c>
      <c r="J530" s="268">
        <v>20</v>
      </c>
    </row>
    <row r="531" spans="1:10" s="289" customFormat="1" ht="24" x14ac:dyDescent="0.55000000000000004">
      <c r="A531" s="305"/>
      <c r="B531" s="306"/>
      <c r="C531" s="306"/>
      <c r="D531" s="306"/>
      <c r="E531" s="847"/>
      <c r="F531" s="848"/>
      <c r="G531" s="396"/>
      <c r="H531" s="299">
        <f>SUM(H509:H530)</f>
        <v>83000</v>
      </c>
      <c r="I531" s="300">
        <f>SUM(I509:I530)</f>
        <v>5525.4</v>
      </c>
      <c r="J531" s="300">
        <f>SUM(J509:J530)</f>
        <v>3310.2</v>
      </c>
    </row>
    <row r="536" spans="1:10" s="289" customFormat="1" ht="24" x14ac:dyDescent="0.55000000000000004">
      <c r="A536" s="858" t="s">
        <v>455</v>
      </c>
      <c r="B536" s="858"/>
      <c r="C536" s="858"/>
      <c r="D536" s="858"/>
      <c r="E536" s="858"/>
      <c r="F536" s="858"/>
      <c r="G536" s="858"/>
      <c r="H536" s="858"/>
      <c r="I536" s="858"/>
      <c r="J536" s="858"/>
    </row>
    <row r="537" spans="1:10" s="289" customFormat="1" ht="24" x14ac:dyDescent="0.55000000000000004">
      <c r="A537" s="395"/>
      <c r="B537" s="395"/>
      <c r="C537" s="395"/>
      <c r="D537" s="395"/>
      <c r="E537" s="395"/>
      <c r="F537" s="395"/>
      <c r="G537" s="395"/>
      <c r="H537" s="395"/>
      <c r="I537" s="395"/>
      <c r="J537" s="395"/>
    </row>
    <row r="538" spans="1:10" s="259" customFormat="1" ht="24" x14ac:dyDescent="0.55000000000000004">
      <c r="A538" s="855"/>
      <c r="B538" s="856"/>
      <c r="C538" s="856"/>
      <c r="D538" s="856"/>
      <c r="E538" s="856"/>
      <c r="F538" s="857"/>
      <c r="G538" s="260" t="s">
        <v>78</v>
      </c>
      <c r="H538" s="260" t="s">
        <v>6</v>
      </c>
      <c r="I538" s="261" t="s">
        <v>335</v>
      </c>
      <c r="J538" s="262" t="s">
        <v>336</v>
      </c>
    </row>
    <row r="539" spans="1:10" s="289" customFormat="1" ht="24" x14ac:dyDescent="0.55000000000000004">
      <c r="A539" s="301" t="s">
        <v>375</v>
      </c>
      <c r="B539" s="302"/>
      <c r="C539" s="302"/>
      <c r="D539" s="271"/>
      <c r="E539" s="271"/>
      <c r="F539" s="272"/>
      <c r="G539" s="298"/>
      <c r="H539" s="268"/>
      <c r="I539" s="269"/>
      <c r="J539" s="268"/>
    </row>
    <row r="540" spans="1:10" s="289" customFormat="1" ht="24" x14ac:dyDescent="0.55000000000000004">
      <c r="A540" s="270" t="s">
        <v>339</v>
      </c>
      <c r="B540" s="271" t="s">
        <v>376</v>
      </c>
      <c r="C540" s="271"/>
      <c r="D540" s="271"/>
      <c r="E540" s="271"/>
      <c r="F540" s="272"/>
      <c r="G540" s="273">
        <v>413003</v>
      </c>
      <c r="H540" s="276">
        <v>100000</v>
      </c>
      <c r="I540" s="277">
        <v>33122.75</v>
      </c>
      <c r="J540" s="274">
        <v>33122.75</v>
      </c>
    </row>
    <row r="541" spans="1:10" s="259" customFormat="1" ht="24" x14ac:dyDescent="0.55000000000000004">
      <c r="A541" s="270" t="s">
        <v>341</v>
      </c>
      <c r="B541" s="271" t="s">
        <v>377</v>
      </c>
      <c r="C541" s="271"/>
      <c r="D541" s="271"/>
      <c r="E541" s="271"/>
      <c r="F541" s="272"/>
      <c r="G541" s="273">
        <v>413999</v>
      </c>
      <c r="H541" s="276">
        <v>10000</v>
      </c>
      <c r="I541" s="277">
        <v>0</v>
      </c>
      <c r="J541" s="268">
        <v>0</v>
      </c>
    </row>
    <row r="542" spans="1:10" s="259" customFormat="1" ht="24" x14ac:dyDescent="0.55000000000000004">
      <c r="A542" s="270"/>
      <c r="B542" s="271"/>
      <c r="C542" s="271"/>
      <c r="D542" s="271"/>
      <c r="E542" s="271"/>
      <c r="F542" s="272"/>
      <c r="G542" s="273"/>
      <c r="H542" s="299">
        <f>SUM(H540:H541)</f>
        <v>110000</v>
      </c>
      <c r="I542" s="300">
        <f>SUM(I540:I541)</f>
        <v>33122.75</v>
      </c>
      <c r="J542" s="299">
        <f>SUM(J540:J541)</f>
        <v>33122.75</v>
      </c>
    </row>
    <row r="543" spans="1:10" s="289" customFormat="1" ht="24" x14ac:dyDescent="0.55000000000000004">
      <c r="A543" s="301" t="s">
        <v>378</v>
      </c>
      <c r="B543" s="302"/>
      <c r="C543" s="302"/>
      <c r="D543" s="302"/>
      <c r="E543" s="302"/>
      <c r="F543" s="272"/>
      <c r="G543" s="298"/>
      <c r="H543" s="268"/>
      <c r="I543" s="269"/>
      <c r="J543" s="268"/>
    </row>
    <row r="544" spans="1:10" s="289" customFormat="1" ht="24" x14ac:dyDescent="0.55000000000000004">
      <c r="A544" s="270" t="s">
        <v>339</v>
      </c>
      <c r="B544" s="271" t="s">
        <v>21</v>
      </c>
      <c r="C544" s="271"/>
      <c r="D544" s="271"/>
      <c r="E544" s="271"/>
      <c r="F544" s="272"/>
      <c r="G544" s="273">
        <v>414006</v>
      </c>
      <c r="H544" s="274">
        <v>1000000</v>
      </c>
      <c r="I544" s="275">
        <f>41213+40907+47749+76891</f>
        <v>206760</v>
      </c>
      <c r="J544" s="274">
        <v>76891</v>
      </c>
    </row>
    <row r="545" spans="1:11" s="289" customFormat="1" ht="24" x14ac:dyDescent="0.55000000000000004">
      <c r="A545" s="270" t="s">
        <v>341</v>
      </c>
      <c r="B545" s="271" t="s">
        <v>379</v>
      </c>
      <c r="C545" s="271"/>
      <c r="D545" s="271"/>
      <c r="E545" s="271"/>
      <c r="F545" s="272"/>
      <c r="G545" s="273">
        <v>414999</v>
      </c>
      <c r="H545" s="268">
        <v>5000</v>
      </c>
      <c r="I545" s="269">
        <f>200+200+200+400</f>
        <v>1000</v>
      </c>
      <c r="J545" s="303">
        <v>400</v>
      </c>
    </row>
    <row r="546" spans="1:11" s="289" customFormat="1" ht="24" x14ac:dyDescent="0.55000000000000004">
      <c r="A546" s="391"/>
      <c r="B546" s="392"/>
      <c r="C546" s="392"/>
      <c r="D546" s="392"/>
      <c r="E546" s="859" t="s">
        <v>151</v>
      </c>
      <c r="F546" s="860"/>
      <c r="G546" s="393"/>
      <c r="H546" s="299">
        <f>SUM(H544:H545)</f>
        <v>1005000</v>
      </c>
      <c r="I546" s="300">
        <f>SUM(I544:I545)</f>
        <v>207760</v>
      </c>
      <c r="J546" s="299">
        <f>SUM(J544:J545)</f>
        <v>77291</v>
      </c>
    </row>
    <row r="547" spans="1:11" s="289" customFormat="1" ht="24" x14ac:dyDescent="0.55000000000000004">
      <c r="A547" s="301" t="s">
        <v>380</v>
      </c>
      <c r="B547" s="302"/>
      <c r="C547" s="302"/>
      <c r="D547" s="271"/>
      <c r="E547" s="271"/>
      <c r="F547" s="272"/>
      <c r="G547" s="298"/>
      <c r="H547" s="268"/>
      <c r="I547" s="269"/>
      <c r="J547" s="268"/>
    </row>
    <row r="548" spans="1:11" s="289" customFormat="1" ht="24" x14ac:dyDescent="0.55000000000000004">
      <c r="A548" s="270" t="s">
        <v>339</v>
      </c>
      <c r="B548" s="271" t="s">
        <v>381</v>
      </c>
      <c r="C548" s="271"/>
      <c r="D548" s="271"/>
      <c r="E548" s="271"/>
      <c r="F548" s="272"/>
      <c r="G548" s="273">
        <v>415004</v>
      </c>
      <c r="H548" s="274">
        <v>80000</v>
      </c>
      <c r="I548" s="277">
        <f>3000+7200</f>
        <v>10200</v>
      </c>
      <c r="J548" s="274">
        <v>0</v>
      </c>
      <c r="K548" s="289">
        <v>2</v>
      </c>
    </row>
    <row r="549" spans="1:11" s="289" customFormat="1" ht="24" x14ac:dyDescent="0.55000000000000004">
      <c r="A549" s="270" t="s">
        <v>341</v>
      </c>
      <c r="B549" s="271" t="s">
        <v>382</v>
      </c>
      <c r="C549" s="271"/>
      <c r="D549" s="271"/>
      <c r="E549" s="271"/>
      <c r="F549" s="272"/>
      <c r="G549" s="273">
        <v>415999</v>
      </c>
      <c r="H549" s="276">
        <v>10000</v>
      </c>
      <c r="I549" s="277">
        <v>500</v>
      </c>
      <c r="J549" s="268">
        <v>0</v>
      </c>
    </row>
    <row r="550" spans="1:11" s="289" customFormat="1" ht="24" x14ac:dyDescent="0.55000000000000004">
      <c r="A550" s="270"/>
      <c r="B550" s="271"/>
      <c r="C550" s="271"/>
      <c r="D550" s="271"/>
      <c r="E550" s="271"/>
      <c r="F550" s="272"/>
      <c r="G550" s="273"/>
      <c r="H550" s="299">
        <f>SUM(H548:H549)</f>
        <v>90000</v>
      </c>
      <c r="I550" s="300">
        <f>SUM(I548:I549)</f>
        <v>10700</v>
      </c>
      <c r="J550" s="299">
        <f>SUM(J548:J549)</f>
        <v>0</v>
      </c>
    </row>
    <row r="551" spans="1:11" s="289" customFormat="1" ht="24" x14ac:dyDescent="0.55000000000000004">
      <c r="A551" s="301" t="s">
        <v>383</v>
      </c>
      <c r="B551" s="302"/>
      <c r="C551" s="302"/>
      <c r="D551" s="271"/>
      <c r="E551" s="271"/>
      <c r="F551" s="272"/>
      <c r="G551" s="298"/>
      <c r="H551" s="268"/>
      <c r="I551" s="269"/>
      <c r="J551" s="268"/>
    </row>
    <row r="552" spans="1:11" s="289" customFormat="1" ht="24" x14ac:dyDescent="0.55000000000000004">
      <c r="A552" s="270" t="s">
        <v>339</v>
      </c>
      <c r="B552" s="271" t="s">
        <v>384</v>
      </c>
      <c r="C552" s="271"/>
      <c r="D552" s="271"/>
      <c r="E552" s="271"/>
      <c r="F552" s="272"/>
      <c r="G552" s="273">
        <v>416001</v>
      </c>
      <c r="H552" s="274">
        <v>2000</v>
      </c>
      <c r="I552" s="277">
        <v>3665</v>
      </c>
      <c r="J552" s="274">
        <v>3665</v>
      </c>
    </row>
    <row r="553" spans="1:11" s="289" customFormat="1" ht="24" x14ac:dyDescent="0.55000000000000004">
      <c r="A553" s="270" t="s">
        <v>341</v>
      </c>
      <c r="B553" s="271" t="s">
        <v>385</v>
      </c>
      <c r="C553" s="271"/>
      <c r="D553" s="271"/>
      <c r="E553" s="271"/>
      <c r="F553" s="272"/>
      <c r="G553" s="273">
        <v>416999</v>
      </c>
      <c r="H553" s="276">
        <v>0</v>
      </c>
      <c r="I553" s="277">
        <v>0</v>
      </c>
      <c r="J553" s="268">
        <v>0</v>
      </c>
    </row>
    <row r="554" spans="1:11" s="289" customFormat="1" ht="24" x14ac:dyDescent="0.55000000000000004">
      <c r="A554" s="270"/>
      <c r="B554" s="271"/>
      <c r="C554" s="271"/>
      <c r="D554" s="271"/>
      <c r="E554" s="271"/>
      <c r="F554" s="272"/>
      <c r="G554" s="273"/>
      <c r="H554" s="299">
        <f>SUM(H552:H553)</f>
        <v>2000</v>
      </c>
      <c r="I554" s="300">
        <f>SUM(I552:I553)</f>
        <v>3665</v>
      </c>
      <c r="J554" s="299">
        <f>SUM(J552:J553)</f>
        <v>3665</v>
      </c>
    </row>
    <row r="555" spans="1:11" s="289" customFormat="1" ht="24" x14ac:dyDescent="0.55000000000000004">
      <c r="A555" s="304" t="s">
        <v>386</v>
      </c>
      <c r="B555" s="271"/>
      <c r="C555" s="271"/>
      <c r="D555" s="271"/>
      <c r="E555" s="271"/>
      <c r="F555" s="272"/>
      <c r="G555" s="273"/>
      <c r="H555" s="268"/>
      <c r="I555" s="269"/>
      <c r="J555" s="268"/>
    </row>
    <row r="556" spans="1:11" s="259" customFormat="1" ht="24" x14ac:dyDescent="0.55000000000000004">
      <c r="A556" s="270" t="s">
        <v>339</v>
      </c>
      <c r="B556" s="271" t="s">
        <v>387</v>
      </c>
      <c r="C556" s="271"/>
      <c r="D556" s="271"/>
      <c r="E556" s="271"/>
      <c r="F556" s="272"/>
      <c r="G556" s="273">
        <v>421002</v>
      </c>
      <c r="H556" s="274">
        <v>7000000</v>
      </c>
      <c r="I556" s="274">
        <f>576013.89+578421.62+586350.36+110502.39</f>
        <v>1851288.26</v>
      </c>
      <c r="J556" s="274">
        <v>110502.39</v>
      </c>
    </row>
    <row r="557" spans="1:11" s="259" customFormat="1" ht="24" x14ac:dyDescent="0.55000000000000004">
      <c r="A557" s="270" t="s">
        <v>341</v>
      </c>
      <c r="B557" s="271" t="s">
        <v>388</v>
      </c>
      <c r="C557" s="271"/>
      <c r="D557" s="271"/>
      <c r="E557" s="271"/>
      <c r="F557" s="272"/>
      <c r="G557" s="273">
        <v>421004</v>
      </c>
      <c r="H557" s="274">
        <v>1500000</v>
      </c>
      <c r="I557" s="274">
        <f>113953.78+131505.43+128502.61</f>
        <v>373961.82</v>
      </c>
      <c r="J557" s="274">
        <v>128502.61</v>
      </c>
    </row>
    <row r="558" spans="1:11" s="259" customFormat="1" ht="24" x14ac:dyDescent="0.55000000000000004">
      <c r="A558" s="270" t="s">
        <v>343</v>
      </c>
      <c r="B558" s="271" t="s">
        <v>389</v>
      </c>
      <c r="C558" s="271"/>
      <c r="D558" s="271"/>
      <c r="E558" s="271"/>
      <c r="F558" s="272"/>
      <c r="G558" s="273">
        <v>421005</v>
      </c>
      <c r="H558" s="274">
        <v>100000</v>
      </c>
      <c r="I558" s="274">
        <f>2747.3+3451.03</f>
        <v>6198.33</v>
      </c>
      <c r="J558" s="274">
        <v>3451.03</v>
      </c>
    </row>
    <row r="559" spans="1:11" s="259" customFormat="1" ht="24" x14ac:dyDescent="0.55000000000000004">
      <c r="A559" s="270" t="s">
        <v>345</v>
      </c>
      <c r="B559" s="271" t="s">
        <v>390</v>
      </c>
      <c r="C559" s="271"/>
      <c r="D559" s="271"/>
      <c r="E559" s="271"/>
      <c r="F559" s="272"/>
      <c r="G559" s="273">
        <v>421006</v>
      </c>
      <c r="H559" s="274">
        <v>700000</v>
      </c>
      <c r="I559" s="274">
        <f>47274.97+53800.47+56240.22</f>
        <v>157315.66</v>
      </c>
      <c r="J559" s="274">
        <v>56240.22</v>
      </c>
    </row>
    <row r="560" spans="1:11" s="259" customFormat="1" ht="24" x14ac:dyDescent="0.55000000000000004">
      <c r="A560" s="270" t="s">
        <v>347</v>
      </c>
      <c r="B560" s="271" t="s">
        <v>391</v>
      </c>
      <c r="C560" s="271"/>
      <c r="D560" s="271"/>
      <c r="E560" s="271"/>
      <c r="F560" s="272"/>
      <c r="G560" s="273">
        <v>421007</v>
      </c>
      <c r="H560" s="274">
        <v>1000000</v>
      </c>
      <c r="I560" s="275">
        <f>102069.72+113369.21+155.2+106077-155.2-252.2</f>
        <v>321263.73</v>
      </c>
      <c r="J560" s="274">
        <f>106077-252.2</f>
        <v>105824.8</v>
      </c>
    </row>
    <row r="561" spans="1:10" s="259" customFormat="1" ht="24" x14ac:dyDescent="0.55000000000000004">
      <c r="A561" s="270" t="s">
        <v>355</v>
      </c>
      <c r="B561" s="271" t="s">
        <v>468</v>
      </c>
      <c r="C561" s="271"/>
      <c r="D561" s="271"/>
      <c r="E561" s="271"/>
      <c r="F561" s="272"/>
      <c r="G561" s="273">
        <v>421011</v>
      </c>
      <c r="H561" s="274">
        <v>10000</v>
      </c>
      <c r="I561" s="275"/>
      <c r="J561" s="274"/>
    </row>
    <row r="562" spans="1:10" s="259" customFormat="1" ht="24" x14ac:dyDescent="0.55000000000000004">
      <c r="A562" s="290" t="s">
        <v>357</v>
      </c>
      <c r="B562" s="259" t="s">
        <v>392</v>
      </c>
      <c r="G562" s="273">
        <v>421012</v>
      </c>
      <c r="H562" s="274">
        <v>30000</v>
      </c>
      <c r="I562" s="275"/>
      <c r="J562" s="274"/>
    </row>
    <row r="563" spans="1:10" s="259" customFormat="1" ht="24" x14ac:dyDescent="0.55000000000000004">
      <c r="A563" s="290" t="s">
        <v>359</v>
      </c>
      <c r="B563" s="271" t="s">
        <v>393</v>
      </c>
      <c r="C563" s="271"/>
      <c r="D563" s="271"/>
      <c r="E563" s="271"/>
      <c r="F563" s="272"/>
      <c r="G563" s="273">
        <v>421013</v>
      </c>
      <c r="H563" s="274">
        <v>40000</v>
      </c>
      <c r="I563" s="275">
        <v>7014.11</v>
      </c>
      <c r="J563" s="274"/>
    </row>
    <row r="564" spans="1:10" s="259" customFormat="1" ht="24" x14ac:dyDescent="0.55000000000000004">
      <c r="A564" s="270" t="s">
        <v>361</v>
      </c>
      <c r="B564" s="271" t="s">
        <v>394</v>
      </c>
      <c r="C564" s="271"/>
      <c r="D564" s="271"/>
      <c r="E564" s="271"/>
      <c r="F564" s="272"/>
      <c r="G564" s="273">
        <v>421015</v>
      </c>
      <c r="H564" s="274">
        <v>1000000</v>
      </c>
      <c r="I564" s="275">
        <f>110381.75+16924+53331</f>
        <v>180636.75</v>
      </c>
      <c r="J564" s="274">
        <v>53331</v>
      </c>
    </row>
    <row r="565" spans="1:10" s="259" customFormat="1" ht="24" x14ac:dyDescent="0.55000000000000004">
      <c r="A565" s="270" t="s">
        <v>363</v>
      </c>
      <c r="B565" s="271" t="s">
        <v>395</v>
      </c>
      <c r="C565" s="271"/>
      <c r="D565" s="271"/>
      <c r="E565" s="271"/>
      <c r="F565" s="272"/>
      <c r="G565" s="273">
        <v>421999</v>
      </c>
      <c r="H565" s="274">
        <v>10000</v>
      </c>
      <c r="I565" s="275"/>
      <c r="J565" s="274"/>
    </row>
    <row r="566" spans="1:10" s="259" customFormat="1" ht="24" x14ac:dyDescent="0.55000000000000004">
      <c r="A566" s="270" t="s">
        <v>365</v>
      </c>
      <c r="B566" s="271" t="s">
        <v>505</v>
      </c>
      <c r="C566" s="271"/>
      <c r="D566" s="271"/>
      <c r="E566" s="271"/>
      <c r="F566" s="272"/>
      <c r="G566" s="273"/>
      <c r="H566" s="268">
        <v>500000</v>
      </c>
      <c r="I566" s="269">
        <v>767.81</v>
      </c>
      <c r="J566" s="268">
        <v>767.81</v>
      </c>
    </row>
    <row r="567" spans="1:10" s="289" customFormat="1" ht="24" x14ac:dyDescent="0.55000000000000004">
      <c r="A567" s="297"/>
      <c r="B567" s="271"/>
      <c r="C567" s="271"/>
      <c r="D567" s="271"/>
      <c r="E567" s="861" t="s">
        <v>151</v>
      </c>
      <c r="F567" s="862"/>
      <c r="G567" s="298"/>
      <c r="H567" s="299">
        <f>SUM(H556:H566)</f>
        <v>11890000</v>
      </c>
      <c r="I567" s="300">
        <f>SUM(I556:I566)</f>
        <v>2898446.47</v>
      </c>
      <c r="J567" s="299">
        <f>SUM(J556:J566)</f>
        <v>458619.86</v>
      </c>
    </row>
    <row r="568" spans="1:10" s="289" customFormat="1" ht="24" x14ac:dyDescent="0.55000000000000004">
      <c r="A568" s="305"/>
      <c r="B568" s="306"/>
      <c r="C568" s="306"/>
      <c r="D568" s="306"/>
      <c r="E568" s="847"/>
      <c r="F568" s="848"/>
      <c r="G568" s="307"/>
      <c r="H568" s="299"/>
      <c r="I568" s="299"/>
      <c r="J568" s="299"/>
    </row>
    <row r="570" spans="1:10" s="289" customFormat="1" ht="24" x14ac:dyDescent="0.55000000000000004">
      <c r="A570" s="849"/>
      <c r="B570" s="849"/>
      <c r="C570" s="849"/>
      <c r="D570" s="849"/>
      <c r="G570" s="265"/>
      <c r="H570" s="258"/>
      <c r="I570" s="258"/>
      <c r="J570" s="258"/>
    </row>
    <row r="571" spans="1:10" s="289" customFormat="1" ht="24" x14ac:dyDescent="0.55000000000000004">
      <c r="A571" s="451"/>
      <c r="B571" s="451"/>
      <c r="C571" s="451"/>
      <c r="D571" s="451"/>
      <c r="H571" s="258"/>
      <c r="I571" s="258"/>
      <c r="J571" s="258"/>
    </row>
    <row r="572" spans="1:10" s="289" customFormat="1" ht="24" x14ac:dyDescent="0.55000000000000004">
      <c r="A572" s="451"/>
      <c r="B572" s="451"/>
      <c r="C572" s="451"/>
      <c r="D572" s="451"/>
      <c r="H572" s="258"/>
      <c r="I572" s="258"/>
      <c r="J572" s="258"/>
    </row>
    <row r="573" spans="1:10" s="289" customFormat="1" ht="24" x14ac:dyDescent="0.55000000000000004">
      <c r="A573" s="451"/>
      <c r="B573" s="451"/>
      <c r="C573" s="451"/>
      <c r="D573" s="451"/>
      <c r="H573" s="258"/>
      <c r="I573" s="258"/>
      <c r="J573" s="258"/>
    </row>
    <row r="574" spans="1:10" s="289" customFormat="1" ht="24" x14ac:dyDescent="0.55000000000000004">
      <c r="A574" s="451"/>
      <c r="B574" s="451"/>
      <c r="C574" s="451"/>
      <c r="D574" s="451"/>
      <c r="H574" s="258"/>
      <c r="I574" s="258"/>
      <c r="J574" s="258"/>
    </row>
    <row r="575" spans="1:10" s="289" customFormat="1" ht="24" x14ac:dyDescent="0.55000000000000004">
      <c r="A575" s="451"/>
      <c r="B575" s="451"/>
      <c r="C575" s="451"/>
      <c r="D575" s="451"/>
      <c r="H575" s="258"/>
      <c r="I575" s="258"/>
      <c r="J575" s="258"/>
    </row>
    <row r="576" spans="1:10" s="289" customFormat="1" ht="24" x14ac:dyDescent="0.55000000000000004">
      <c r="A576" s="451"/>
      <c r="B576" s="451"/>
      <c r="C576" s="451"/>
      <c r="D576" s="451"/>
      <c r="F576" s="451" t="s">
        <v>491</v>
      </c>
      <c r="H576" s="258"/>
      <c r="I576" s="258"/>
      <c r="J576" s="258"/>
    </row>
    <row r="577" spans="1:11" s="289" customFormat="1" ht="24" x14ac:dyDescent="0.55000000000000004">
      <c r="A577" s="451"/>
      <c r="B577" s="451"/>
      <c r="C577" s="451"/>
      <c r="D577" s="451"/>
      <c r="F577" s="451"/>
      <c r="H577" s="258"/>
      <c r="I577" s="258"/>
      <c r="J577" s="258"/>
    </row>
    <row r="578" spans="1:11" s="289" customFormat="1" ht="24" x14ac:dyDescent="0.55000000000000004">
      <c r="A578" s="850"/>
      <c r="B578" s="851"/>
      <c r="C578" s="851"/>
      <c r="D578" s="851"/>
      <c r="E578" s="851"/>
      <c r="F578" s="852"/>
      <c r="G578" s="411" t="s">
        <v>78</v>
      </c>
      <c r="H578" s="411" t="s">
        <v>6</v>
      </c>
      <c r="I578" s="261" t="s">
        <v>335</v>
      </c>
      <c r="J578" s="412" t="s">
        <v>336</v>
      </c>
    </row>
    <row r="579" spans="1:11" s="289" customFormat="1" ht="24" x14ac:dyDescent="0.55000000000000004">
      <c r="A579" s="301" t="s">
        <v>396</v>
      </c>
      <c r="B579" s="302"/>
      <c r="C579" s="271"/>
      <c r="D579" s="271"/>
      <c r="E579" s="271"/>
      <c r="F579" s="272"/>
      <c r="G579" s="298"/>
      <c r="H579" s="268"/>
      <c r="I579" s="269"/>
      <c r="J579" s="268"/>
    </row>
    <row r="580" spans="1:11" s="289" customFormat="1" ht="24" x14ac:dyDescent="0.55000000000000004">
      <c r="A580" s="270" t="s">
        <v>339</v>
      </c>
      <c r="B580" s="271" t="s">
        <v>469</v>
      </c>
      <c r="C580" s="271"/>
      <c r="D580" s="271"/>
      <c r="E580" s="271"/>
      <c r="F580" s="272"/>
      <c r="G580" s="273">
        <v>431002</v>
      </c>
      <c r="H580" s="274">
        <v>4750000</v>
      </c>
      <c r="I580" s="275">
        <f>976141+976141</f>
        <v>1952282</v>
      </c>
      <c r="J580" s="274">
        <v>976141</v>
      </c>
    </row>
    <row r="581" spans="1:11" s="289" customFormat="1" ht="24" x14ac:dyDescent="0.55000000000000004">
      <c r="A581" s="397"/>
      <c r="B581" s="271" t="s">
        <v>470</v>
      </c>
      <c r="C581" s="271"/>
      <c r="D581" s="271"/>
      <c r="E581" s="392"/>
      <c r="F581" s="398"/>
      <c r="G581" s="298"/>
      <c r="H581" s="402"/>
      <c r="I581" s="402"/>
      <c r="J581" s="402"/>
    </row>
    <row r="582" spans="1:11" s="289" customFormat="1" ht="24" x14ac:dyDescent="0.55000000000000004">
      <c r="A582" s="397"/>
      <c r="B582" s="271" t="s">
        <v>483</v>
      </c>
      <c r="C582" s="271"/>
      <c r="D582" s="392"/>
      <c r="E582" s="392"/>
      <c r="F582" s="398"/>
      <c r="G582" s="298"/>
      <c r="H582" s="402"/>
      <c r="I582" s="407">
        <f>69514+158955</f>
        <v>228469</v>
      </c>
      <c r="J582" s="407">
        <v>158955</v>
      </c>
    </row>
    <row r="583" spans="1:11" s="289" customFormat="1" ht="24" x14ac:dyDescent="0.55000000000000004">
      <c r="A583" s="397"/>
      <c r="B583" s="271" t="s">
        <v>481</v>
      </c>
      <c r="C583" s="271"/>
      <c r="D583" s="392"/>
      <c r="E583" s="392"/>
      <c r="F583" s="398"/>
      <c r="G583" s="298"/>
      <c r="H583" s="402"/>
      <c r="I583" s="407">
        <f>244000+244000</f>
        <v>488000</v>
      </c>
      <c r="J583" s="407">
        <v>244000</v>
      </c>
    </row>
    <row r="584" spans="1:11" s="289" customFormat="1" ht="24" x14ac:dyDescent="0.55000000000000004">
      <c r="A584" s="397"/>
      <c r="B584" s="271" t="s">
        <v>487</v>
      </c>
      <c r="C584" s="271"/>
      <c r="D584" s="271"/>
      <c r="E584" s="271"/>
      <c r="F584" s="272"/>
      <c r="G584" s="298"/>
      <c r="H584" s="274"/>
      <c r="I584" s="275">
        <v>8000</v>
      </c>
      <c r="J584" s="274"/>
    </row>
    <row r="585" spans="1:11" s="289" customFormat="1" ht="24" x14ac:dyDescent="0.55000000000000004">
      <c r="A585" s="397"/>
      <c r="B585" s="291" t="s">
        <v>486</v>
      </c>
      <c r="C585" s="291"/>
      <c r="D585" s="291"/>
      <c r="E585" s="265"/>
      <c r="F585" s="266"/>
      <c r="G585" s="402"/>
      <c r="H585" s="274"/>
      <c r="I585" s="275">
        <v>52500</v>
      </c>
      <c r="J585" s="274"/>
    </row>
    <row r="586" spans="1:11" s="289" customFormat="1" ht="24" x14ac:dyDescent="0.55000000000000004">
      <c r="A586" s="397"/>
      <c r="B586" s="271" t="s">
        <v>482</v>
      </c>
      <c r="C586" s="271"/>
      <c r="D586" s="271"/>
      <c r="E586" s="392"/>
      <c r="F586" s="398"/>
      <c r="G586" s="402"/>
      <c r="H586" s="274"/>
      <c r="I586" s="275">
        <f>7500+7500</f>
        <v>15000</v>
      </c>
      <c r="J586" s="274">
        <v>7500</v>
      </c>
      <c r="K586" s="289">
        <v>3</v>
      </c>
    </row>
    <row r="587" spans="1:11" s="289" customFormat="1" ht="24" x14ac:dyDescent="0.55000000000000004">
      <c r="A587" s="397"/>
      <c r="B587" s="392"/>
      <c r="C587" s="392"/>
      <c r="D587" s="392"/>
      <c r="E587" s="392"/>
      <c r="F587" s="398"/>
      <c r="G587" s="402"/>
      <c r="H587" s="274"/>
      <c r="I587" s="275"/>
      <c r="J587" s="274"/>
    </row>
    <row r="588" spans="1:11" s="289" customFormat="1" ht="24" x14ac:dyDescent="0.55000000000000004">
      <c r="A588" s="397"/>
      <c r="B588" s="392"/>
      <c r="C588" s="392"/>
      <c r="D588" s="392"/>
      <c r="E588" s="392"/>
      <c r="F588" s="398"/>
      <c r="G588" s="402"/>
      <c r="H588" s="274"/>
      <c r="I588" s="275"/>
      <c r="J588" s="274"/>
    </row>
    <row r="589" spans="1:11" s="289" customFormat="1" ht="24" x14ac:dyDescent="0.55000000000000004">
      <c r="A589" s="397"/>
      <c r="B589" s="392"/>
      <c r="C589" s="392"/>
      <c r="D589" s="392"/>
      <c r="E589" s="392"/>
      <c r="F589" s="398"/>
      <c r="G589" s="402"/>
      <c r="H589" s="303"/>
      <c r="I589" s="399"/>
      <c r="J589" s="303"/>
    </row>
    <row r="590" spans="1:11" s="289" customFormat="1" ht="24" x14ac:dyDescent="0.55000000000000004">
      <c r="A590" s="305"/>
      <c r="B590" s="306"/>
      <c r="C590" s="306"/>
      <c r="D590" s="306"/>
      <c r="E590" s="847" t="s">
        <v>151</v>
      </c>
      <c r="F590" s="848"/>
      <c r="G590" s="307"/>
      <c r="H590" s="299">
        <f>SUM(H580)</f>
        <v>4750000</v>
      </c>
      <c r="I590" s="299">
        <f>SUM(I580:I589)</f>
        <v>2744251</v>
      </c>
      <c r="J590" s="299">
        <f>SUM(J580:J589)</f>
        <v>1386596</v>
      </c>
    </row>
    <row r="591" spans="1:11" s="289" customFormat="1" ht="24.75" thickBot="1" x14ac:dyDescent="0.6">
      <c r="A591" s="265"/>
      <c r="B591" s="265"/>
      <c r="C591" s="265"/>
      <c r="D591" s="265"/>
      <c r="E591" s="308"/>
      <c r="F591" s="308" t="s">
        <v>397</v>
      </c>
      <c r="G591" s="265"/>
      <c r="H591" s="309">
        <f>+H507+H531+H542+H546+H550+H554+H567+H590</f>
        <v>22000000</v>
      </c>
      <c r="I591" s="309">
        <f>+I507+I531+I542+I546+I550+I554+I567+I590</f>
        <v>5931271.6900000004</v>
      </c>
      <c r="J591" s="309">
        <f>+J507+J531+J542+J546+J550+J554+J567+J590</f>
        <v>1964900.96</v>
      </c>
    </row>
    <row r="592" spans="1:11" ht="15" thickTop="1" x14ac:dyDescent="0.2"/>
    <row r="607" spans="1:10" s="289" customFormat="1" ht="24" x14ac:dyDescent="0.55000000000000004">
      <c r="A607" s="451"/>
      <c r="B607" s="451"/>
      <c r="C607" s="451"/>
      <c r="D607" s="451"/>
      <c r="E607" s="451"/>
      <c r="F607" s="390"/>
      <c r="G607" s="390"/>
      <c r="H607" s="390"/>
      <c r="I607" s="390"/>
      <c r="J607" s="258"/>
    </row>
    <row r="608" spans="1:10" s="289" customFormat="1" ht="24" x14ac:dyDescent="0.55000000000000004">
      <c r="A608" s="849"/>
      <c r="B608" s="849"/>
      <c r="C608" s="849"/>
      <c r="D608" s="849"/>
      <c r="E608" s="451"/>
      <c r="F608" s="390"/>
      <c r="G608" s="390"/>
      <c r="H608" s="390"/>
      <c r="I608" s="390"/>
      <c r="J608" s="258"/>
    </row>
    <row r="609" spans="1:10" s="312" customFormat="1" ht="24" x14ac:dyDescent="0.55000000000000004">
      <c r="A609" s="289"/>
      <c r="B609" s="289"/>
      <c r="C609" s="258"/>
      <c r="H609" s="313"/>
      <c r="I609" s="313"/>
      <c r="J609" s="313"/>
    </row>
    <row r="610" spans="1:10" s="289" customFormat="1" ht="24" x14ac:dyDescent="0.55000000000000004"/>
    <row r="611" spans="1:10" s="312" customFormat="1" ht="24" x14ac:dyDescent="0.55000000000000004">
      <c r="H611" s="313"/>
      <c r="I611" s="313"/>
      <c r="J611" s="313"/>
    </row>
    <row r="612" spans="1:10" s="312" customFormat="1" ht="24" x14ac:dyDescent="0.55000000000000004">
      <c r="H612" s="313"/>
      <c r="I612" s="313"/>
      <c r="J612" s="313"/>
    </row>
    <row r="613" spans="1:10" s="312" customFormat="1" ht="24" x14ac:dyDescent="0.55000000000000004">
      <c r="H613" s="313"/>
      <c r="I613" s="313"/>
      <c r="J613" s="313"/>
    </row>
    <row r="614" spans="1:10" s="312" customFormat="1" ht="24" x14ac:dyDescent="0.55000000000000004">
      <c r="H614" s="313"/>
      <c r="I614" s="313"/>
      <c r="J614" s="313"/>
    </row>
    <row r="615" spans="1:10" s="312" customFormat="1" ht="24" x14ac:dyDescent="0.55000000000000004">
      <c r="H615" s="313"/>
      <c r="I615" s="313"/>
      <c r="J615" s="313"/>
    </row>
    <row r="616" spans="1:10" s="312" customFormat="1" ht="24" x14ac:dyDescent="0.55000000000000004">
      <c r="H616" s="313"/>
      <c r="I616" s="313"/>
      <c r="J616" s="313"/>
    </row>
    <row r="617" spans="1:10" s="312" customFormat="1" ht="24" x14ac:dyDescent="0.55000000000000004">
      <c r="H617" s="313"/>
      <c r="I617" s="313"/>
      <c r="J617" s="313"/>
    </row>
    <row r="618" spans="1:10" s="312" customFormat="1" ht="24" x14ac:dyDescent="0.55000000000000004">
      <c r="H618" s="313"/>
      <c r="I618" s="313"/>
      <c r="J618" s="313"/>
    </row>
    <row r="619" spans="1:10" x14ac:dyDescent="0.2">
      <c r="F619" s="452" t="s">
        <v>492</v>
      </c>
    </row>
    <row r="621" spans="1:10" ht="24" x14ac:dyDescent="0.55000000000000004">
      <c r="A621" s="850"/>
      <c r="B621" s="851"/>
      <c r="C621" s="851"/>
      <c r="D621" s="851"/>
      <c r="E621" s="851"/>
      <c r="F621" s="852"/>
      <c r="G621" s="411" t="s">
        <v>78</v>
      </c>
      <c r="H621" s="411" t="s">
        <v>6</v>
      </c>
      <c r="I621" s="261" t="s">
        <v>335</v>
      </c>
      <c r="J621" s="412" t="s">
        <v>336</v>
      </c>
    </row>
    <row r="622" spans="1:10" ht="24" x14ac:dyDescent="0.55000000000000004">
      <c r="A622" s="405" t="s">
        <v>477</v>
      </c>
      <c r="B622" s="406"/>
      <c r="C622" s="291"/>
      <c r="D622" s="291"/>
      <c r="E622" s="291"/>
      <c r="F622" s="292"/>
      <c r="G622" s="402"/>
      <c r="H622" s="268"/>
      <c r="I622" s="269"/>
      <c r="J622" s="268"/>
    </row>
    <row r="623" spans="1:10" ht="24" x14ac:dyDescent="0.55000000000000004">
      <c r="A623" s="270" t="s">
        <v>339</v>
      </c>
      <c r="B623" s="271" t="s">
        <v>476</v>
      </c>
      <c r="C623" s="271"/>
      <c r="D623" s="271"/>
      <c r="E623" s="271"/>
      <c r="F623" s="272"/>
      <c r="G623" s="273"/>
      <c r="H623" s="274"/>
      <c r="I623" s="275"/>
      <c r="J623" s="274"/>
    </row>
    <row r="624" spans="1:10" ht="24" x14ac:dyDescent="0.55000000000000004">
      <c r="A624" s="270"/>
      <c r="B624" s="271" t="s">
        <v>484</v>
      </c>
      <c r="C624" s="271"/>
      <c r="D624" s="271"/>
      <c r="E624" s="271"/>
      <c r="F624" s="272"/>
      <c r="G624" s="273"/>
      <c r="H624" s="274"/>
      <c r="I624" s="275">
        <f>1011900+674600</f>
        <v>1686500</v>
      </c>
      <c r="J624" s="274">
        <v>674600</v>
      </c>
    </row>
    <row r="625" spans="1:10" ht="24" x14ac:dyDescent="0.55000000000000004">
      <c r="A625" s="270"/>
      <c r="B625" s="271" t="s">
        <v>485</v>
      </c>
      <c r="C625" s="271"/>
      <c r="D625" s="271"/>
      <c r="E625" s="271"/>
      <c r="F625" s="272"/>
      <c r="G625" s="273"/>
      <c r="H625" s="274"/>
      <c r="I625" s="453">
        <f>136800+136800</f>
        <v>273600</v>
      </c>
      <c r="J625" s="274">
        <v>136800</v>
      </c>
    </row>
    <row r="626" spans="1:10" ht="24" x14ac:dyDescent="0.55000000000000004">
      <c r="A626" s="270"/>
      <c r="B626" s="302" t="s">
        <v>488</v>
      </c>
      <c r="C626" s="302"/>
      <c r="D626" s="302"/>
      <c r="E626" s="271"/>
      <c r="F626" s="272"/>
      <c r="G626" s="273"/>
      <c r="H626" s="274"/>
      <c r="I626" s="275"/>
      <c r="J626" s="274"/>
    </row>
    <row r="627" spans="1:10" ht="24" x14ac:dyDescent="0.55000000000000004">
      <c r="A627" s="270"/>
      <c r="B627" s="271" t="s">
        <v>478</v>
      </c>
      <c r="C627" s="271"/>
      <c r="D627" s="271"/>
      <c r="E627" s="271"/>
      <c r="F627" s="272"/>
      <c r="G627" s="273"/>
      <c r="H627" s="274"/>
      <c r="I627" s="275">
        <v>50400</v>
      </c>
      <c r="J627" s="274"/>
    </row>
    <row r="628" spans="1:10" ht="24" x14ac:dyDescent="0.55000000000000004">
      <c r="A628" s="270"/>
      <c r="B628" s="271" t="s">
        <v>479</v>
      </c>
      <c r="C628" s="271"/>
      <c r="D628" s="271"/>
      <c r="E628" s="271"/>
      <c r="F628" s="272"/>
      <c r="G628" s="273"/>
      <c r="H628" s="274"/>
      <c r="I628" s="275">
        <f>118290+78860+17955</f>
        <v>215105</v>
      </c>
      <c r="J628" s="274">
        <f>78860+17955</f>
        <v>96815</v>
      </c>
    </row>
    <row r="629" spans="1:10" ht="24" x14ac:dyDescent="0.55000000000000004">
      <c r="A629" s="270"/>
      <c r="B629" s="271" t="s">
        <v>522</v>
      </c>
      <c r="C629" s="271"/>
      <c r="D629" s="271"/>
      <c r="E629" s="271"/>
      <c r="F629" s="272"/>
      <c r="G629" s="273"/>
      <c r="H629" s="274"/>
      <c r="I629" s="275">
        <f>21800+68400+45600</f>
        <v>135800</v>
      </c>
      <c r="J629" s="274">
        <v>45600</v>
      </c>
    </row>
    <row r="630" spans="1:10" ht="24" x14ac:dyDescent="0.55000000000000004">
      <c r="A630" s="270"/>
      <c r="B630" s="271" t="s">
        <v>521</v>
      </c>
      <c r="C630" s="271"/>
      <c r="D630" s="271"/>
      <c r="E630" s="271"/>
      <c r="F630" s="272"/>
      <c r="G630" s="273"/>
      <c r="H630" s="274"/>
      <c r="I630" s="275">
        <f>1090+3420+2280</f>
        <v>6790</v>
      </c>
      <c r="J630" s="274">
        <v>2280</v>
      </c>
    </row>
    <row r="631" spans="1:10" ht="24" x14ac:dyDescent="0.55000000000000004">
      <c r="A631" s="270"/>
      <c r="B631" s="271" t="s">
        <v>489</v>
      </c>
      <c r="C631" s="271"/>
      <c r="D631" s="271"/>
      <c r="E631" s="271"/>
      <c r="F631" s="272"/>
      <c r="G631" s="273"/>
      <c r="H631" s="274"/>
      <c r="I631" s="275"/>
      <c r="J631" s="274"/>
    </row>
    <row r="632" spans="1:10" ht="24" x14ac:dyDescent="0.55000000000000004">
      <c r="A632" s="270"/>
      <c r="B632" s="271" t="s">
        <v>490</v>
      </c>
      <c r="C632" s="271"/>
      <c r="D632" s="271"/>
      <c r="E632" s="271"/>
      <c r="F632" s="272"/>
      <c r="G632" s="273"/>
      <c r="H632" s="274"/>
      <c r="I632" s="275"/>
      <c r="J632" s="274"/>
    </row>
    <row r="633" spans="1:10" ht="24" x14ac:dyDescent="0.55000000000000004">
      <c r="A633" s="270"/>
      <c r="B633" s="271"/>
      <c r="C633" s="271"/>
      <c r="D633" s="271"/>
      <c r="E633" s="271"/>
      <c r="F633" s="272"/>
      <c r="G633" s="273"/>
      <c r="H633" s="274"/>
      <c r="I633" s="275"/>
      <c r="J633" s="274"/>
    </row>
    <row r="634" spans="1:10" ht="24" x14ac:dyDescent="0.55000000000000004">
      <c r="A634" s="270"/>
      <c r="B634" s="410"/>
      <c r="C634" s="404"/>
      <c r="D634" s="271"/>
      <c r="E634" s="271"/>
      <c r="F634" s="272"/>
      <c r="G634" s="273"/>
      <c r="H634" s="274"/>
      <c r="I634" s="275"/>
      <c r="J634" s="274"/>
    </row>
    <row r="635" spans="1:10" ht="24" x14ac:dyDescent="0.55000000000000004">
      <c r="A635" s="270"/>
      <c r="B635" s="271"/>
      <c r="C635" s="271"/>
      <c r="D635" s="271"/>
      <c r="E635" s="271"/>
      <c r="F635" s="272"/>
      <c r="G635" s="273"/>
      <c r="H635" s="274"/>
      <c r="I635" s="275"/>
      <c r="J635" s="274"/>
    </row>
    <row r="636" spans="1:10" ht="24" x14ac:dyDescent="0.55000000000000004">
      <c r="A636" s="270"/>
      <c r="B636" s="271"/>
      <c r="C636" s="271"/>
      <c r="D636" s="271"/>
      <c r="E636" s="271"/>
      <c r="F636" s="272"/>
      <c r="G636" s="273"/>
      <c r="H636" s="274"/>
      <c r="I636" s="275"/>
      <c r="J636" s="274"/>
    </row>
    <row r="637" spans="1:10" ht="24" x14ac:dyDescent="0.55000000000000004">
      <c r="A637" s="305"/>
      <c r="B637" s="306"/>
      <c r="C637" s="306"/>
      <c r="D637" s="306"/>
      <c r="E637" s="847" t="s">
        <v>151</v>
      </c>
      <c r="F637" s="848"/>
      <c r="G637" s="307"/>
      <c r="H637" s="299">
        <f>SUM(H624:H636)</f>
        <v>0</v>
      </c>
      <c r="I637" s="299">
        <f>SUM(I624:I636)</f>
        <v>2368195</v>
      </c>
      <c r="J637" s="299">
        <f>SUM(J622:J636)</f>
        <v>956095</v>
      </c>
    </row>
    <row r="638" spans="1:10" ht="24.75" thickBot="1" x14ac:dyDescent="0.6">
      <c r="A638" s="428"/>
      <c r="B638" s="265"/>
      <c r="C638" s="265"/>
      <c r="D638" s="265"/>
      <c r="E638" s="420" t="s">
        <v>506</v>
      </c>
      <c r="G638" s="265"/>
      <c r="H638" s="425">
        <f>SUM(H637)</f>
        <v>0</v>
      </c>
      <c r="I638" s="425">
        <f>SUM(I637)</f>
        <v>2368195</v>
      </c>
      <c r="J638" s="425">
        <f>SUM(J637)</f>
        <v>956095</v>
      </c>
    </row>
    <row r="639" spans="1:10" ht="24" x14ac:dyDescent="0.55000000000000004">
      <c r="A639" s="421"/>
      <c r="B639" s="422"/>
      <c r="C639" s="422"/>
      <c r="D639" s="422"/>
      <c r="E639" s="423" t="s">
        <v>507</v>
      </c>
      <c r="F639" s="161"/>
      <c r="G639" s="424"/>
      <c r="H639" s="426"/>
      <c r="I639" s="426">
        <f>+I638+I591</f>
        <v>8299466.6900000004</v>
      </c>
      <c r="J639" s="427">
        <f>+J638+J591</f>
        <v>2920995.96</v>
      </c>
    </row>
    <row r="649" spans="1:10" ht="24" x14ac:dyDescent="0.55000000000000004">
      <c r="A649" s="400" t="s">
        <v>471</v>
      </c>
      <c r="B649" s="400"/>
      <c r="C649" s="400"/>
      <c r="D649" s="400"/>
      <c r="E649" s="400"/>
      <c r="F649" s="400" t="s">
        <v>626</v>
      </c>
      <c r="G649" s="401"/>
      <c r="H649" s="401"/>
      <c r="I649" s="258" t="s">
        <v>474</v>
      </c>
      <c r="J649" s="258"/>
    </row>
    <row r="650" spans="1:10" ht="24" x14ac:dyDescent="0.55000000000000004">
      <c r="A650" s="400" t="s">
        <v>472</v>
      </c>
      <c r="B650" s="400"/>
      <c r="C650" s="400"/>
      <c r="D650" s="400"/>
      <c r="E650" s="400"/>
      <c r="F650" s="400" t="s">
        <v>510</v>
      </c>
      <c r="G650" s="401"/>
      <c r="H650" s="401"/>
      <c r="I650" s="258" t="s">
        <v>473</v>
      </c>
      <c r="J650" s="258"/>
    </row>
    <row r="651" spans="1:10" ht="24" x14ac:dyDescent="0.55000000000000004">
      <c r="A651" s="312"/>
      <c r="B651" s="312"/>
      <c r="C651" s="312"/>
      <c r="D651" s="312"/>
      <c r="E651" s="312"/>
      <c r="F651" s="400" t="s">
        <v>475</v>
      </c>
      <c r="G651" s="401"/>
      <c r="H651" s="401"/>
      <c r="I651" s="313"/>
      <c r="J651" s="313"/>
    </row>
    <row r="652" spans="1:10" ht="24" x14ac:dyDescent="0.55000000000000004">
      <c r="A652" s="312"/>
      <c r="B652" s="312"/>
      <c r="C652" s="312"/>
      <c r="D652" s="312"/>
      <c r="E652" s="312"/>
      <c r="F652" s="400"/>
      <c r="G652" s="401"/>
      <c r="H652" s="401"/>
      <c r="I652" s="313"/>
      <c r="J652" s="313"/>
    </row>
    <row r="653" spans="1:10" ht="24" x14ac:dyDescent="0.55000000000000004">
      <c r="A653" s="312"/>
      <c r="B653" s="312"/>
      <c r="C653" s="312"/>
      <c r="D653" s="312"/>
      <c r="E653" s="312"/>
      <c r="F653" s="400"/>
      <c r="G653" s="401"/>
      <c r="H653" s="401"/>
      <c r="I653" s="313"/>
      <c r="J653" s="313"/>
    </row>
    <row r="654" spans="1:10" ht="24" x14ac:dyDescent="0.55000000000000004">
      <c r="A654" s="312"/>
      <c r="B654" s="312"/>
      <c r="C654" s="312"/>
      <c r="D654" s="312"/>
      <c r="E654" s="312"/>
      <c r="F654" s="400"/>
      <c r="G654" s="401"/>
      <c r="H654" s="401"/>
      <c r="I654" s="313"/>
      <c r="J654" s="313"/>
    </row>
    <row r="655" spans="1:10" ht="24" x14ac:dyDescent="0.55000000000000004">
      <c r="A655" s="312"/>
      <c r="B655" s="312"/>
      <c r="C655" s="312"/>
      <c r="D655" s="312"/>
      <c r="E655" s="312"/>
      <c r="F655" s="400"/>
      <c r="G655" s="401"/>
      <c r="H655" s="401"/>
      <c r="I655" s="313"/>
      <c r="J655" s="313"/>
    </row>
    <row r="656" spans="1:10" ht="24" x14ac:dyDescent="0.55000000000000004">
      <c r="A656" s="312"/>
      <c r="B656" s="312"/>
      <c r="C656" s="312"/>
      <c r="D656" s="312"/>
      <c r="E656" s="312"/>
      <c r="F656" s="400"/>
      <c r="G656" s="401"/>
      <c r="H656" s="401"/>
      <c r="I656" s="313"/>
      <c r="J656" s="313"/>
    </row>
    <row r="657" spans="1:10" ht="24" x14ac:dyDescent="0.55000000000000004">
      <c r="A657" s="312"/>
      <c r="B657" s="312"/>
      <c r="C657" s="312"/>
      <c r="D657" s="312"/>
      <c r="E657" s="312"/>
      <c r="F657" s="400"/>
      <c r="G657" s="401"/>
      <c r="H657" s="401"/>
      <c r="I657" s="313"/>
      <c r="J657" s="313"/>
    </row>
    <row r="658" spans="1:10" s="259" customFormat="1" ht="24" x14ac:dyDescent="0.55000000000000004">
      <c r="A658" s="853" t="s">
        <v>76</v>
      </c>
      <c r="B658" s="853"/>
      <c r="C658" s="853"/>
      <c r="D658" s="853"/>
      <c r="E658" s="853"/>
      <c r="F658" s="853"/>
      <c r="G658" s="853"/>
      <c r="H658" s="853"/>
      <c r="I658" s="853"/>
      <c r="J658" s="853"/>
    </row>
    <row r="659" spans="1:10" s="259" customFormat="1" ht="24" x14ac:dyDescent="0.55000000000000004">
      <c r="A659" s="853" t="s">
        <v>334</v>
      </c>
      <c r="B659" s="853"/>
      <c r="C659" s="853"/>
      <c r="D659" s="853"/>
      <c r="E659" s="853"/>
      <c r="F659" s="853"/>
      <c r="G659" s="853"/>
      <c r="H659" s="853"/>
      <c r="I659" s="853"/>
      <c r="J659" s="853"/>
    </row>
    <row r="660" spans="1:10" s="259" customFormat="1" ht="24" x14ac:dyDescent="0.55000000000000004">
      <c r="A660" s="854" t="s">
        <v>542</v>
      </c>
      <c r="B660" s="854"/>
      <c r="C660" s="854"/>
      <c r="D660" s="854"/>
      <c r="E660" s="854"/>
      <c r="F660" s="854"/>
      <c r="G660" s="854"/>
      <c r="H660" s="854"/>
      <c r="I660" s="854"/>
      <c r="J660" s="854"/>
    </row>
    <row r="661" spans="1:10" s="259" customFormat="1" ht="24" x14ac:dyDescent="0.55000000000000004">
      <c r="A661" s="855"/>
      <c r="B661" s="856"/>
      <c r="C661" s="856"/>
      <c r="D661" s="856"/>
      <c r="E661" s="856"/>
      <c r="F661" s="857"/>
      <c r="G661" s="260" t="s">
        <v>78</v>
      </c>
      <c r="H661" s="260" t="s">
        <v>6</v>
      </c>
      <c r="I661" s="261" t="s">
        <v>335</v>
      </c>
      <c r="J661" s="262" t="s">
        <v>336</v>
      </c>
    </row>
    <row r="662" spans="1:10" s="259" customFormat="1" ht="24" x14ac:dyDescent="0.55000000000000004">
      <c r="A662" s="263" t="s">
        <v>337</v>
      </c>
      <c r="B662" s="264"/>
      <c r="C662" s="265"/>
      <c r="D662" s="265"/>
      <c r="E662" s="265"/>
      <c r="F662" s="266"/>
      <c r="G662" s="267"/>
      <c r="H662" s="268"/>
      <c r="I662" s="269"/>
      <c r="J662" s="268"/>
    </row>
    <row r="663" spans="1:10" s="259" customFormat="1" ht="24" x14ac:dyDescent="0.55000000000000004">
      <c r="A663" s="263" t="s">
        <v>338</v>
      </c>
      <c r="B663" s="264"/>
      <c r="C663" s="265"/>
      <c r="D663" s="265"/>
      <c r="E663" s="265"/>
      <c r="F663" s="266"/>
      <c r="G663" s="267"/>
      <c r="H663" s="268"/>
      <c r="I663" s="269"/>
      <c r="J663" s="268"/>
    </row>
    <row r="664" spans="1:10" s="259" customFormat="1" ht="24" x14ac:dyDescent="0.55000000000000004">
      <c r="A664" s="270" t="s">
        <v>339</v>
      </c>
      <c r="B664" s="271" t="s">
        <v>340</v>
      </c>
      <c r="C664" s="271"/>
      <c r="D664" s="271"/>
      <c r="E664" s="271"/>
      <c r="F664" s="272"/>
      <c r="G664" s="273">
        <v>411001</v>
      </c>
      <c r="H664" s="274">
        <v>3900000</v>
      </c>
      <c r="I664" s="275">
        <v>187018.1</v>
      </c>
      <c r="J664" s="274">
        <v>187018.1</v>
      </c>
    </row>
    <row r="665" spans="1:10" s="259" customFormat="1" ht="24" x14ac:dyDescent="0.55000000000000004">
      <c r="A665" s="270" t="s">
        <v>341</v>
      </c>
      <c r="B665" s="271" t="s">
        <v>342</v>
      </c>
      <c r="C665" s="271"/>
      <c r="D665" s="271"/>
      <c r="E665" s="271"/>
      <c r="F665" s="272"/>
      <c r="G665" s="273">
        <v>411002</v>
      </c>
      <c r="H665" s="274">
        <v>50000</v>
      </c>
      <c r="I665" s="275">
        <f>222.3+653.6+2296.15+2449.1</f>
        <v>5621.15</v>
      </c>
      <c r="J665" s="274">
        <v>2449.1</v>
      </c>
    </row>
    <row r="666" spans="1:10" s="259" customFormat="1" ht="24" x14ac:dyDescent="0.55000000000000004">
      <c r="A666" s="270" t="s">
        <v>343</v>
      </c>
      <c r="B666" s="271" t="s">
        <v>344</v>
      </c>
      <c r="C666" s="271"/>
      <c r="D666" s="271"/>
      <c r="E666" s="271"/>
      <c r="F666" s="272"/>
      <c r="G666" s="273">
        <v>411003</v>
      </c>
      <c r="H666" s="274">
        <v>20000</v>
      </c>
      <c r="I666" s="275">
        <v>2919</v>
      </c>
      <c r="J666" s="274">
        <v>2919</v>
      </c>
    </row>
    <row r="667" spans="1:10" s="259" customFormat="1" ht="24" x14ac:dyDescent="0.55000000000000004">
      <c r="A667" s="270" t="s">
        <v>345</v>
      </c>
      <c r="B667" s="271" t="s">
        <v>346</v>
      </c>
      <c r="C667" s="271"/>
      <c r="D667" s="271"/>
      <c r="E667" s="271"/>
      <c r="F667" s="272"/>
      <c r="G667" s="273">
        <v>411004</v>
      </c>
      <c r="H667" s="274">
        <v>0</v>
      </c>
      <c r="I667" s="275"/>
      <c r="J667" s="274"/>
    </row>
    <row r="668" spans="1:10" s="259" customFormat="1" ht="24" x14ac:dyDescent="0.55000000000000004">
      <c r="A668" s="270" t="s">
        <v>347</v>
      </c>
      <c r="B668" s="271" t="s">
        <v>348</v>
      </c>
      <c r="C668" s="271"/>
      <c r="D668" s="271"/>
      <c r="E668" s="271"/>
      <c r="F668" s="272"/>
      <c r="G668" s="273">
        <v>411005</v>
      </c>
      <c r="H668" s="276">
        <v>100000</v>
      </c>
      <c r="I668" s="277">
        <f>24629.02+645270.57</f>
        <v>669899.59</v>
      </c>
      <c r="J668" s="276">
        <v>645270.56999999995</v>
      </c>
    </row>
    <row r="669" spans="1:10" s="259" customFormat="1" ht="24" x14ac:dyDescent="0.55000000000000004">
      <c r="A669" s="270"/>
      <c r="B669" s="271"/>
      <c r="C669" s="271"/>
      <c r="D669" s="271"/>
      <c r="E669" s="271"/>
      <c r="F669" s="272"/>
      <c r="G669" s="273"/>
      <c r="H669" s="299">
        <f>SUM(H664:H668)</f>
        <v>4070000</v>
      </c>
      <c r="I669" s="300">
        <f>SUM(I664:I668)</f>
        <v>865457.84</v>
      </c>
      <c r="J669" s="299">
        <f>SUM(J664:J668)</f>
        <v>837656.77</v>
      </c>
    </row>
    <row r="670" spans="1:10" s="259" customFormat="1" ht="24" x14ac:dyDescent="0.55000000000000004">
      <c r="A670" s="263" t="s">
        <v>349</v>
      </c>
      <c r="B670" s="278"/>
      <c r="C670" s="278"/>
      <c r="D670" s="278"/>
      <c r="E670" s="279"/>
      <c r="F670" s="280"/>
      <c r="G670" s="281"/>
      <c r="H670" s="282"/>
      <c r="I670" s="283"/>
      <c r="J670" s="268"/>
    </row>
    <row r="671" spans="1:10" s="259" customFormat="1" ht="24" x14ac:dyDescent="0.55000000000000004">
      <c r="A671" s="270" t="s">
        <v>339</v>
      </c>
      <c r="B671" s="271" t="s">
        <v>350</v>
      </c>
      <c r="C671" s="284"/>
      <c r="D671" s="284"/>
      <c r="E671" s="284"/>
      <c r="F671" s="285"/>
      <c r="G671" s="286">
        <v>412103</v>
      </c>
      <c r="H671" s="287">
        <v>500</v>
      </c>
      <c r="I671" s="288">
        <f>155.2+252.2+213.4</f>
        <v>620.79999999999995</v>
      </c>
      <c r="J671" s="274">
        <v>213.4</v>
      </c>
    </row>
    <row r="672" spans="1:10" s="259" customFormat="1" ht="24" x14ac:dyDescent="0.55000000000000004">
      <c r="A672" s="270" t="s">
        <v>341</v>
      </c>
      <c r="B672" s="271" t="s">
        <v>351</v>
      </c>
      <c r="C672" s="284"/>
      <c r="D672" s="284"/>
      <c r="E672" s="284"/>
      <c r="F672" s="285"/>
      <c r="G672" s="286">
        <v>412104</v>
      </c>
      <c r="H672" s="287">
        <v>500</v>
      </c>
      <c r="I672" s="288"/>
      <c r="J672" s="274"/>
    </row>
    <row r="673" spans="1:11" s="259" customFormat="1" ht="24" x14ac:dyDescent="0.55000000000000004">
      <c r="A673" s="270" t="s">
        <v>343</v>
      </c>
      <c r="B673" s="271" t="s">
        <v>352</v>
      </c>
      <c r="C673" s="284"/>
      <c r="D673" s="284"/>
      <c r="E673" s="284"/>
      <c r="F673" s="285"/>
      <c r="G673" s="286">
        <v>4120106</v>
      </c>
      <c r="H673" s="287">
        <v>20000</v>
      </c>
      <c r="I673" s="288">
        <f>292+24+164+2398</f>
        <v>2878</v>
      </c>
      <c r="J673" s="274"/>
    </row>
    <row r="674" spans="1:11" s="259" customFormat="1" ht="24" x14ac:dyDescent="0.55000000000000004">
      <c r="A674" s="270" t="s">
        <v>345</v>
      </c>
      <c r="B674" s="271" t="s">
        <v>456</v>
      </c>
      <c r="C674" s="284"/>
      <c r="D674" s="284"/>
      <c r="E674" s="284"/>
      <c r="F674" s="285"/>
      <c r="G674" s="286"/>
      <c r="H674" s="287">
        <v>500</v>
      </c>
      <c r="I674" s="288"/>
      <c r="J674" s="274"/>
    </row>
    <row r="675" spans="1:11" s="259" customFormat="1" ht="24" x14ac:dyDescent="0.55000000000000004">
      <c r="A675" s="270" t="s">
        <v>347</v>
      </c>
      <c r="B675" s="271" t="s">
        <v>457</v>
      </c>
      <c r="C675" s="284"/>
      <c r="D675" s="284"/>
      <c r="E675" s="284"/>
      <c r="F675" s="285"/>
      <c r="G675" s="286"/>
      <c r="H675" s="287">
        <v>500</v>
      </c>
      <c r="I675" s="288"/>
      <c r="J675" s="274"/>
    </row>
    <row r="676" spans="1:11" s="259" customFormat="1" ht="24" x14ac:dyDescent="0.55000000000000004">
      <c r="A676" s="270"/>
      <c r="B676" s="271" t="s">
        <v>458</v>
      </c>
      <c r="C676" s="284"/>
      <c r="D676" s="284"/>
      <c r="E676" s="284"/>
      <c r="F676" s="285"/>
      <c r="G676" s="286"/>
      <c r="H676" s="287"/>
      <c r="I676" s="288"/>
      <c r="J676" s="274"/>
    </row>
    <row r="677" spans="1:11" s="259" customFormat="1" ht="24" x14ac:dyDescent="0.55000000000000004">
      <c r="A677" s="270" t="s">
        <v>355</v>
      </c>
      <c r="B677" s="271" t="s">
        <v>459</v>
      </c>
      <c r="C677" s="284"/>
      <c r="D677" s="284"/>
      <c r="E677" s="284"/>
      <c r="F677" s="285"/>
      <c r="G677" s="286"/>
      <c r="H677" s="287">
        <v>500</v>
      </c>
      <c r="I677" s="288"/>
      <c r="J677" s="274"/>
    </row>
    <row r="678" spans="1:11" s="259" customFormat="1" ht="24" x14ac:dyDescent="0.55000000000000004">
      <c r="A678" s="270"/>
      <c r="B678" s="271" t="s">
        <v>460</v>
      </c>
      <c r="C678" s="284"/>
      <c r="D678" s="284"/>
      <c r="E678" s="284"/>
      <c r="F678" s="285"/>
      <c r="G678" s="286"/>
      <c r="H678" s="287"/>
      <c r="I678" s="288"/>
      <c r="J678" s="274"/>
    </row>
    <row r="679" spans="1:11" s="289" customFormat="1" ht="24" x14ac:dyDescent="0.55000000000000004">
      <c r="A679" s="290" t="s">
        <v>357</v>
      </c>
      <c r="B679" s="271" t="s">
        <v>353</v>
      </c>
      <c r="C679" s="271"/>
      <c r="D679" s="271"/>
      <c r="E679" s="271"/>
      <c r="F679" s="272"/>
      <c r="G679" s="286">
        <v>412128</v>
      </c>
      <c r="H679" s="274">
        <v>1000</v>
      </c>
      <c r="I679" s="275">
        <f>50+50+50+100+50</f>
        <v>300</v>
      </c>
      <c r="J679" s="274">
        <v>50</v>
      </c>
    </row>
    <row r="680" spans="1:11" s="289" customFormat="1" ht="24" x14ac:dyDescent="0.55000000000000004">
      <c r="A680" s="290" t="s">
        <v>359</v>
      </c>
      <c r="B680" s="271" t="s">
        <v>461</v>
      </c>
      <c r="C680" s="271"/>
      <c r="D680" s="271"/>
      <c r="E680" s="271"/>
      <c r="F680" s="272"/>
      <c r="G680" s="286"/>
      <c r="H680" s="274">
        <v>500</v>
      </c>
      <c r="I680" s="275"/>
      <c r="J680" s="274"/>
      <c r="K680" s="289">
        <v>1</v>
      </c>
    </row>
    <row r="681" spans="1:11" s="289" customFormat="1" ht="24" x14ac:dyDescent="0.55000000000000004">
      <c r="A681" s="270" t="s">
        <v>361</v>
      </c>
      <c r="B681" s="271" t="s">
        <v>354</v>
      </c>
      <c r="C681" s="271"/>
      <c r="D681" s="271"/>
      <c r="E681" s="271"/>
      <c r="F681" s="272"/>
      <c r="G681" s="286">
        <v>412199</v>
      </c>
      <c r="H681" s="274">
        <v>1500</v>
      </c>
      <c r="I681" s="275">
        <f>200+10</f>
        <v>210</v>
      </c>
      <c r="J681" s="274"/>
    </row>
    <row r="682" spans="1:11" s="289" customFormat="1" ht="24" x14ac:dyDescent="0.55000000000000004">
      <c r="A682" s="270" t="s">
        <v>363</v>
      </c>
      <c r="B682" s="271" t="s">
        <v>356</v>
      </c>
      <c r="C682" s="271"/>
      <c r="D682" s="271"/>
      <c r="E682" s="271"/>
      <c r="F682" s="272"/>
      <c r="G682" s="286"/>
      <c r="H682" s="274">
        <v>1500</v>
      </c>
      <c r="I682" s="275">
        <f>200+650+200+450</f>
        <v>1500</v>
      </c>
      <c r="J682" s="274"/>
    </row>
    <row r="683" spans="1:11" s="289" customFormat="1" ht="24" x14ac:dyDescent="0.55000000000000004">
      <c r="A683" s="270" t="s">
        <v>365</v>
      </c>
      <c r="B683" s="271" t="s">
        <v>358</v>
      </c>
      <c r="C683" s="271"/>
      <c r="D683" s="271"/>
      <c r="E683" s="271"/>
      <c r="F683" s="272"/>
      <c r="G683" s="286"/>
      <c r="H683" s="274">
        <v>50000</v>
      </c>
      <c r="I683" s="275">
        <v>76160</v>
      </c>
      <c r="J683" s="274">
        <v>76160</v>
      </c>
    </row>
    <row r="684" spans="1:11" s="289" customFormat="1" ht="24" x14ac:dyDescent="0.55000000000000004">
      <c r="A684" s="270" t="s">
        <v>367</v>
      </c>
      <c r="B684" s="271" t="s">
        <v>360</v>
      </c>
      <c r="C684" s="271"/>
      <c r="D684" s="271"/>
      <c r="E684" s="271"/>
      <c r="F684" s="272"/>
      <c r="G684" s="286">
        <v>412211</v>
      </c>
      <c r="H684" s="274">
        <v>500</v>
      </c>
      <c r="I684" s="275"/>
      <c r="J684" s="274"/>
    </row>
    <row r="685" spans="1:11" s="291" customFormat="1" ht="24" x14ac:dyDescent="0.55000000000000004">
      <c r="A685" s="270" t="s">
        <v>369</v>
      </c>
      <c r="B685" s="291" t="s">
        <v>362</v>
      </c>
      <c r="F685" s="292"/>
      <c r="G685" s="293">
        <v>412299</v>
      </c>
      <c r="H685" s="294">
        <v>500</v>
      </c>
      <c r="I685" s="295"/>
      <c r="J685" s="294"/>
    </row>
    <row r="686" spans="1:11" s="265" customFormat="1" ht="24" x14ac:dyDescent="0.55000000000000004">
      <c r="A686" s="270" t="s">
        <v>371</v>
      </c>
      <c r="B686" s="291" t="s">
        <v>462</v>
      </c>
      <c r="C686" s="291"/>
      <c r="D686" s="291"/>
      <c r="E686" s="291"/>
      <c r="F686" s="292"/>
      <c r="G686" s="293"/>
      <c r="H686" s="294">
        <v>500</v>
      </c>
      <c r="I686" s="295"/>
      <c r="J686" s="294"/>
    </row>
    <row r="687" spans="1:11" s="289" customFormat="1" ht="24" x14ac:dyDescent="0.55000000000000004">
      <c r="A687" s="270" t="s">
        <v>373</v>
      </c>
      <c r="B687" s="291" t="s">
        <v>364</v>
      </c>
      <c r="C687" s="291"/>
      <c r="D687" s="291"/>
      <c r="E687" s="291"/>
      <c r="F687" s="292"/>
      <c r="G687" s="296">
        <v>412303</v>
      </c>
      <c r="H687" s="294">
        <v>500</v>
      </c>
      <c r="I687" s="295"/>
      <c r="J687" s="268"/>
    </row>
    <row r="688" spans="1:11" s="289" customFormat="1" ht="24" x14ac:dyDescent="0.55000000000000004">
      <c r="A688" s="270" t="s">
        <v>463</v>
      </c>
      <c r="B688" s="271" t="s">
        <v>366</v>
      </c>
      <c r="C688" s="271"/>
      <c r="D688" s="271"/>
      <c r="E688" s="271"/>
      <c r="F688" s="272"/>
      <c r="G688" s="273">
        <v>412304</v>
      </c>
      <c r="H688" s="274">
        <v>500</v>
      </c>
      <c r="I688" s="275"/>
      <c r="J688" s="274"/>
    </row>
    <row r="689" spans="1:10" s="289" customFormat="1" ht="24" x14ac:dyDescent="0.55000000000000004">
      <c r="A689" s="270" t="s">
        <v>464</v>
      </c>
      <c r="B689" s="271" t="s">
        <v>368</v>
      </c>
      <c r="C689" s="271"/>
      <c r="D689" s="271"/>
      <c r="E689" s="271"/>
      <c r="F689" s="272"/>
      <c r="G689" s="273">
        <v>412305</v>
      </c>
      <c r="H689" s="274">
        <v>500</v>
      </c>
      <c r="I689" s="275"/>
      <c r="J689" s="274"/>
    </row>
    <row r="690" spans="1:10" s="289" customFormat="1" ht="24" x14ac:dyDescent="0.55000000000000004">
      <c r="A690" s="270" t="s">
        <v>465</v>
      </c>
      <c r="B690" s="271" t="s">
        <v>370</v>
      </c>
      <c r="C690" s="271"/>
      <c r="D690" s="271"/>
      <c r="E690" s="271"/>
      <c r="F690" s="272"/>
      <c r="G690" s="273">
        <v>412306</v>
      </c>
      <c r="H690" s="276">
        <v>500</v>
      </c>
      <c r="I690" s="277"/>
      <c r="J690" s="274"/>
    </row>
    <row r="691" spans="1:10" s="289" customFormat="1" ht="24" x14ac:dyDescent="0.55000000000000004">
      <c r="A691" s="270" t="s">
        <v>466</v>
      </c>
      <c r="B691" s="271" t="s">
        <v>372</v>
      </c>
      <c r="C691" s="271"/>
      <c r="D691" s="271"/>
      <c r="E691" s="271"/>
      <c r="F691" s="272"/>
      <c r="G691" s="273">
        <v>412307</v>
      </c>
      <c r="H691" s="276">
        <v>2000</v>
      </c>
      <c r="I691" s="277">
        <f>20+20+40+80</f>
        <v>160</v>
      </c>
      <c r="J691" s="274"/>
    </row>
    <row r="692" spans="1:10" s="289" customFormat="1" ht="24" x14ac:dyDescent="0.55000000000000004">
      <c r="A692" s="270" t="s">
        <v>467</v>
      </c>
      <c r="B692" s="271" t="s">
        <v>374</v>
      </c>
      <c r="C692" s="271"/>
      <c r="D692" s="271"/>
      <c r="E692" s="271"/>
      <c r="F692" s="272"/>
      <c r="G692" s="273">
        <v>412399</v>
      </c>
      <c r="H692" s="276">
        <v>500</v>
      </c>
      <c r="I692" s="277">
        <f>70+30+20</f>
        <v>120</v>
      </c>
      <c r="J692" s="268"/>
    </row>
    <row r="693" spans="1:10" s="289" customFormat="1" ht="24" x14ac:dyDescent="0.55000000000000004">
      <c r="A693" s="305"/>
      <c r="B693" s="306"/>
      <c r="C693" s="306"/>
      <c r="D693" s="306"/>
      <c r="E693" s="847"/>
      <c r="F693" s="848"/>
      <c r="G693" s="396"/>
      <c r="H693" s="299">
        <f>SUM(H671:H692)</f>
        <v>83000</v>
      </c>
      <c r="I693" s="299">
        <f>SUM(I671:I692)</f>
        <v>81948.800000000003</v>
      </c>
      <c r="J693" s="300">
        <f>SUM(J671:J692)</f>
        <v>76423.399999999994</v>
      </c>
    </row>
    <row r="698" spans="1:10" s="289" customFormat="1" ht="24" x14ac:dyDescent="0.55000000000000004">
      <c r="A698" s="858" t="s">
        <v>455</v>
      </c>
      <c r="B698" s="858"/>
      <c r="C698" s="858"/>
      <c r="D698" s="858"/>
      <c r="E698" s="858"/>
      <c r="F698" s="858"/>
      <c r="G698" s="858"/>
      <c r="H698" s="858"/>
      <c r="I698" s="858"/>
      <c r="J698" s="858"/>
    </row>
    <row r="699" spans="1:10" s="289" customFormat="1" ht="24" x14ac:dyDescent="0.55000000000000004">
      <c r="A699" s="395"/>
      <c r="B699" s="395"/>
      <c r="C699" s="395"/>
      <c r="D699" s="395"/>
      <c r="E699" s="395"/>
      <c r="F699" s="395"/>
      <c r="G699" s="395"/>
      <c r="H699" s="395"/>
      <c r="I699" s="395"/>
      <c r="J699" s="395"/>
    </row>
    <row r="700" spans="1:10" s="259" customFormat="1" ht="24" x14ac:dyDescent="0.55000000000000004">
      <c r="A700" s="855"/>
      <c r="B700" s="856"/>
      <c r="C700" s="856"/>
      <c r="D700" s="856"/>
      <c r="E700" s="856"/>
      <c r="F700" s="857"/>
      <c r="G700" s="260" t="s">
        <v>78</v>
      </c>
      <c r="H700" s="260" t="s">
        <v>6</v>
      </c>
      <c r="I700" s="261" t="s">
        <v>335</v>
      </c>
      <c r="J700" s="262" t="s">
        <v>336</v>
      </c>
    </row>
    <row r="701" spans="1:10" s="289" customFormat="1" ht="24" x14ac:dyDescent="0.55000000000000004">
      <c r="A701" s="301" t="s">
        <v>375</v>
      </c>
      <c r="B701" s="302"/>
      <c r="C701" s="302"/>
      <c r="D701" s="271"/>
      <c r="E701" s="271"/>
      <c r="F701" s="272"/>
      <c r="G701" s="298"/>
      <c r="H701" s="268"/>
      <c r="I701" s="269"/>
      <c r="J701" s="268"/>
    </row>
    <row r="702" spans="1:10" s="289" customFormat="1" ht="24" x14ac:dyDescent="0.55000000000000004">
      <c r="A702" s="270" t="s">
        <v>339</v>
      </c>
      <c r="B702" s="271" t="s">
        <v>376</v>
      </c>
      <c r="C702" s="271"/>
      <c r="D702" s="271"/>
      <c r="E702" s="271"/>
      <c r="F702" s="272"/>
      <c r="G702" s="273">
        <v>413003</v>
      </c>
      <c r="H702" s="276">
        <v>100000</v>
      </c>
      <c r="I702" s="277">
        <v>33122.75</v>
      </c>
      <c r="J702" s="274">
        <v>0</v>
      </c>
    </row>
    <row r="703" spans="1:10" s="259" customFormat="1" ht="24" x14ac:dyDescent="0.55000000000000004">
      <c r="A703" s="270" t="s">
        <v>341</v>
      </c>
      <c r="B703" s="271" t="s">
        <v>377</v>
      </c>
      <c r="C703" s="271"/>
      <c r="D703" s="271"/>
      <c r="E703" s="271"/>
      <c r="F703" s="272"/>
      <c r="G703" s="273">
        <v>413999</v>
      </c>
      <c r="H703" s="276">
        <v>10000</v>
      </c>
      <c r="I703" s="277">
        <v>0</v>
      </c>
      <c r="J703" s="268">
        <v>0</v>
      </c>
    </row>
    <row r="704" spans="1:10" s="259" customFormat="1" ht="24" x14ac:dyDescent="0.55000000000000004">
      <c r="A704" s="270"/>
      <c r="B704" s="271"/>
      <c r="C704" s="271"/>
      <c r="D704" s="271"/>
      <c r="E704" s="271"/>
      <c r="F704" s="272"/>
      <c r="G704" s="273"/>
      <c r="H704" s="299">
        <f>SUM(H702:H703)</f>
        <v>110000</v>
      </c>
      <c r="I704" s="300">
        <f>SUM(I702:I703)</f>
        <v>33122.75</v>
      </c>
      <c r="J704" s="299">
        <f>SUM(J702:J703)</f>
        <v>0</v>
      </c>
    </row>
    <row r="705" spans="1:11" s="289" customFormat="1" ht="24" x14ac:dyDescent="0.55000000000000004">
      <c r="A705" s="301" t="s">
        <v>378</v>
      </c>
      <c r="B705" s="302"/>
      <c r="C705" s="302"/>
      <c r="D705" s="302"/>
      <c r="E705" s="302"/>
      <c r="F705" s="272"/>
      <c r="G705" s="298"/>
      <c r="H705" s="268"/>
      <c r="I705" s="269"/>
      <c r="J705" s="268"/>
    </row>
    <row r="706" spans="1:11" s="289" customFormat="1" ht="24" x14ac:dyDescent="0.55000000000000004">
      <c r="A706" s="270" t="s">
        <v>339</v>
      </c>
      <c r="B706" s="271" t="s">
        <v>21</v>
      </c>
      <c r="C706" s="271"/>
      <c r="D706" s="271"/>
      <c r="E706" s="271"/>
      <c r="F706" s="272"/>
      <c r="G706" s="273">
        <v>414006</v>
      </c>
      <c r="H706" s="274">
        <v>1000000</v>
      </c>
      <c r="I706" s="275">
        <f>41213+40907+47749+76891+68560</f>
        <v>275320</v>
      </c>
      <c r="J706" s="274">
        <v>68560</v>
      </c>
    </row>
    <row r="707" spans="1:11" s="289" customFormat="1" ht="24" x14ac:dyDescent="0.55000000000000004">
      <c r="A707" s="270" t="s">
        <v>341</v>
      </c>
      <c r="B707" s="271" t="s">
        <v>379</v>
      </c>
      <c r="C707" s="271"/>
      <c r="D707" s="271"/>
      <c r="E707" s="271"/>
      <c r="F707" s="272"/>
      <c r="G707" s="273">
        <v>414999</v>
      </c>
      <c r="H707" s="268">
        <v>5000</v>
      </c>
      <c r="I707" s="269">
        <f>200+200+200+400+200</f>
        <v>1200</v>
      </c>
      <c r="J707" s="303">
        <v>200</v>
      </c>
    </row>
    <row r="708" spans="1:11" s="289" customFormat="1" ht="24" x14ac:dyDescent="0.55000000000000004">
      <c r="A708" s="391"/>
      <c r="B708" s="392"/>
      <c r="C708" s="392"/>
      <c r="D708" s="392"/>
      <c r="E708" s="859" t="s">
        <v>151</v>
      </c>
      <c r="F708" s="860"/>
      <c r="G708" s="393"/>
      <c r="H708" s="299">
        <f>SUM(H706:H707)</f>
        <v>1005000</v>
      </c>
      <c r="I708" s="300">
        <f>SUM(I706:I707)</f>
        <v>276520</v>
      </c>
      <c r="J708" s="299">
        <f>SUM(J706:J707)</f>
        <v>68760</v>
      </c>
    </row>
    <row r="709" spans="1:11" s="289" customFormat="1" ht="24" x14ac:dyDescent="0.55000000000000004">
      <c r="A709" s="301" t="s">
        <v>380</v>
      </c>
      <c r="B709" s="302"/>
      <c r="C709" s="302"/>
      <c r="D709" s="271"/>
      <c r="E709" s="271"/>
      <c r="F709" s="272"/>
      <c r="G709" s="298"/>
      <c r="H709" s="268"/>
      <c r="I709" s="269"/>
      <c r="J709" s="268"/>
    </row>
    <row r="710" spans="1:11" s="289" customFormat="1" ht="24" x14ac:dyDescent="0.55000000000000004">
      <c r="A710" s="270" t="s">
        <v>339</v>
      </c>
      <c r="B710" s="271" t="s">
        <v>381</v>
      </c>
      <c r="C710" s="271"/>
      <c r="D710" s="271"/>
      <c r="E710" s="271"/>
      <c r="F710" s="272"/>
      <c r="G710" s="273">
        <v>415004</v>
      </c>
      <c r="H710" s="274">
        <v>80000</v>
      </c>
      <c r="I710" s="277">
        <f>3000+7200</f>
        <v>10200</v>
      </c>
      <c r="J710" s="274">
        <v>0</v>
      </c>
      <c r="K710" s="289">
        <v>2</v>
      </c>
    </row>
    <row r="711" spans="1:11" s="289" customFormat="1" ht="24" x14ac:dyDescent="0.55000000000000004">
      <c r="A711" s="270" t="s">
        <v>341</v>
      </c>
      <c r="B711" s="271" t="s">
        <v>382</v>
      </c>
      <c r="C711" s="271"/>
      <c r="D711" s="271"/>
      <c r="E711" s="271"/>
      <c r="F711" s="272"/>
      <c r="G711" s="273">
        <v>415999</v>
      </c>
      <c r="H711" s="276">
        <v>10000</v>
      </c>
      <c r="I711" s="277">
        <v>500</v>
      </c>
      <c r="J711" s="268">
        <v>0</v>
      </c>
    </row>
    <row r="712" spans="1:11" s="289" customFormat="1" ht="24" x14ac:dyDescent="0.55000000000000004">
      <c r="A712" s="270"/>
      <c r="B712" s="271"/>
      <c r="C712" s="271"/>
      <c r="D712" s="271"/>
      <c r="E712" s="271"/>
      <c r="F712" s="272"/>
      <c r="G712" s="273"/>
      <c r="H712" s="299">
        <f>SUM(H710:H711)</f>
        <v>90000</v>
      </c>
      <c r="I712" s="300">
        <f>SUM(I710:I711)</f>
        <v>10700</v>
      </c>
      <c r="J712" s="299">
        <f>SUM(J710:J711)</f>
        <v>0</v>
      </c>
    </row>
    <row r="713" spans="1:11" s="289" customFormat="1" ht="24" x14ac:dyDescent="0.55000000000000004">
      <c r="A713" s="301" t="s">
        <v>383</v>
      </c>
      <c r="B713" s="302"/>
      <c r="C713" s="302"/>
      <c r="D713" s="271"/>
      <c r="E713" s="271"/>
      <c r="F713" s="272"/>
      <c r="G713" s="298"/>
      <c r="H713" s="268"/>
      <c r="I713" s="269"/>
      <c r="J713" s="268"/>
    </row>
    <row r="714" spans="1:11" s="289" customFormat="1" ht="24" x14ac:dyDescent="0.55000000000000004">
      <c r="A714" s="270" t="s">
        <v>339</v>
      </c>
      <c r="B714" s="271" t="s">
        <v>384</v>
      </c>
      <c r="C714" s="271"/>
      <c r="D714" s="271"/>
      <c r="E714" s="271"/>
      <c r="F714" s="272"/>
      <c r="G714" s="273">
        <v>416001</v>
      </c>
      <c r="H714" s="274">
        <v>2000</v>
      </c>
      <c r="I714" s="277">
        <v>3665</v>
      </c>
      <c r="J714" s="274"/>
    </row>
    <row r="715" spans="1:11" s="289" customFormat="1" ht="24" x14ac:dyDescent="0.55000000000000004">
      <c r="A715" s="270" t="s">
        <v>341</v>
      </c>
      <c r="B715" s="271" t="s">
        <v>385</v>
      </c>
      <c r="C715" s="271"/>
      <c r="D715" s="271"/>
      <c r="E715" s="271"/>
      <c r="F715" s="272"/>
      <c r="G715" s="273">
        <v>416999</v>
      </c>
      <c r="H715" s="276">
        <v>0</v>
      </c>
      <c r="I715" s="277">
        <v>0</v>
      </c>
      <c r="J715" s="268">
        <v>0</v>
      </c>
    </row>
    <row r="716" spans="1:11" s="289" customFormat="1" ht="24" x14ac:dyDescent="0.55000000000000004">
      <c r="A716" s="270"/>
      <c r="B716" s="271"/>
      <c r="C716" s="271"/>
      <c r="D716" s="271"/>
      <c r="E716" s="271"/>
      <c r="F716" s="272"/>
      <c r="G716" s="273"/>
      <c r="H716" s="299">
        <f>SUM(H714:H715)</f>
        <v>2000</v>
      </c>
      <c r="I716" s="300">
        <f>SUM(I714:I715)</f>
        <v>3665</v>
      </c>
      <c r="J716" s="299">
        <f>SUM(J714:J715)</f>
        <v>0</v>
      </c>
    </row>
    <row r="717" spans="1:11" s="289" customFormat="1" ht="24" x14ac:dyDescent="0.55000000000000004">
      <c r="A717" s="304" t="s">
        <v>386</v>
      </c>
      <c r="B717" s="271"/>
      <c r="C717" s="271"/>
      <c r="D717" s="271"/>
      <c r="E717" s="271"/>
      <c r="F717" s="272"/>
      <c r="G717" s="273"/>
      <c r="H717" s="268"/>
      <c r="I717" s="269"/>
      <c r="J717" s="268"/>
    </row>
    <row r="718" spans="1:11" s="259" customFormat="1" ht="24" x14ac:dyDescent="0.55000000000000004">
      <c r="A718" s="270" t="s">
        <v>339</v>
      </c>
      <c r="B718" s="271" t="s">
        <v>387</v>
      </c>
      <c r="C718" s="271"/>
      <c r="D718" s="271"/>
      <c r="E718" s="271"/>
      <c r="F718" s="272"/>
      <c r="G718" s="273">
        <v>421002</v>
      </c>
      <c r="H718" s="274">
        <v>7000000</v>
      </c>
      <c r="I718" s="274">
        <f>576013.89+578421.62+586350.36+110502.39+605668.57</f>
        <v>2456956.83</v>
      </c>
      <c r="J718" s="274">
        <v>605668.56999999995</v>
      </c>
    </row>
    <row r="719" spans="1:11" s="259" customFormat="1" ht="24" x14ac:dyDescent="0.55000000000000004">
      <c r="A719" s="270" t="s">
        <v>341</v>
      </c>
      <c r="B719" s="271" t="s">
        <v>388</v>
      </c>
      <c r="C719" s="271"/>
      <c r="D719" s="271"/>
      <c r="E719" s="271"/>
      <c r="F719" s="272"/>
      <c r="G719" s="273">
        <v>421004</v>
      </c>
      <c r="H719" s="274">
        <v>1500000</v>
      </c>
      <c r="I719" s="274">
        <f>113953.78+131505.43+128502.61+128239.4</f>
        <v>502201.22</v>
      </c>
      <c r="J719" s="274">
        <v>128239.4</v>
      </c>
    </row>
    <row r="720" spans="1:11" s="259" customFormat="1" ht="24" x14ac:dyDescent="0.55000000000000004">
      <c r="A720" s="270" t="s">
        <v>343</v>
      </c>
      <c r="B720" s="271" t="s">
        <v>389</v>
      </c>
      <c r="C720" s="271"/>
      <c r="D720" s="271"/>
      <c r="E720" s="271"/>
      <c r="F720" s="272"/>
      <c r="G720" s="273">
        <v>421005</v>
      </c>
      <c r="H720" s="274">
        <v>100000</v>
      </c>
      <c r="I720" s="274">
        <f>2747.3+3451.03+11616.96</f>
        <v>17815.29</v>
      </c>
      <c r="J720" s="274">
        <v>11616.96</v>
      </c>
    </row>
    <row r="721" spans="1:10" s="259" customFormat="1" ht="24" x14ac:dyDescent="0.55000000000000004">
      <c r="A721" s="270" t="s">
        <v>345</v>
      </c>
      <c r="B721" s="271" t="s">
        <v>390</v>
      </c>
      <c r="C721" s="271"/>
      <c r="D721" s="271"/>
      <c r="E721" s="271"/>
      <c r="F721" s="272"/>
      <c r="G721" s="273">
        <v>421006</v>
      </c>
      <c r="H721" s="274">
        <v>700000</v>
      </c>
      <c r="I721" s="274">
        <f>47274.97+53800.47+56240.22+68576.03</f>
        <v>225891.69</v>
      </c>
      <c r="J721" s="274">
        <v>68576.03</v>
      </c>
    </row>
    <row r="722" spans="1:10" s="259" customFormat="1" ht="24" x14ac:dyDescent="0.55000000000000004">
      <c r="A722" s="270" t="s">
        <v>347</v>
      </c>
      <c r="B722" s="271" t="s">
        <v>391</v>
      </c>
      <c r="C722" s="271"/>
      <c r="D722" s="271"/>
      <c r="E722" s="271"/>
      <c r="F722" s="272"/>
      <c r="G722" s="273">
        <v>421007</v>
      </c>
      <c r="H722" s="274">
        <v>1000000</v>
      </c>
      <c r="I722" s="275">
        <f>102069.72+113369.21+155.2+106077+125885.21-155.2-252.2-213.4</f>
        <v>446935.54</v>
      </c>
      <c r="J722" s="274">
        <f>125885.21-213.4</f>
        <v>125671.81000000001</v>
      </c>
    </row>
    <row r="723" spans="1:10" s="259" customFormat="1" ht="24" x14ac:dyDescent="0.55000000000000004">
      <c r="A723" s="270" t="s">
        <v>355</v>
      </c>
      <c r="B723" s="271" t="s">
        <v>468</v>
      </c>
      <c r="C723" s="271"/>
      <c r="D723" s="271"/>
      <c r="E723" s="271"/>
      <c r="F723" s="272"/>
      <c r="G723" s="273">
        <v>421011</v>
      </c>
      <c r="H723" s="274">
        <v>10000</v>
      </c>
      <c r="I723" s="275"/>
      <c r="J723" s="274"/>
    </row>
    <row r="724" spans="1:10" s="259" customFormat="1" ht="24" x14ac:dyDescent="0.55000000000000004">
      <c r="A724" s="290" t="s">
        <v>357</v>
      </c>
      <c r="B724" s="259" t="s">
        <v>392</v>
      </c>
      <c r="G724" s="273">
        <v>421012</v>
      </c>
      <c r="H724" s="274">
        <v>30000</v>
      </c>
      <c r="I724" s="275"/>
      <c r="J724" s="274"/>
    </row>
    <row r="725" spans="1:10" s="259" customFormat="1" ht="24" x14ac:dyDescent="0.55000000000000004">
      <c r="A725" s="290" t="s">
        <v>359</v>
      </c>
      <c r="B725" s="271" t="s">
        <v>393</v>
      </c>
      <c r="C725" s="271"/>
      <c r="D725" s="271"/>
      <c r="E725" s="271"/>
      <c r="F725" s="272"/>
      <c r="G725" s="273">
        <v>421013</v>
      </c>
      <c r="H725" s="274">
        <v>40000</v>
      </c>
      <c r="I725" s="275">
        <f>7014.11+6835.44</f>
        <v>13849.55</v>
      </c>
      <c r="J725" s="274">
        <v>6835.44</v>
      </c>
    </row>
    <row r="726" spans="1:10" s="259" customFormat="1" ht="24" x14ac:dyDescent="0.55000000000000004">
      <c r="A726" s="270" t="s">
        <v>361</v>
      </c>
      <c r="B726" s="271" t="s">
        <v>394</v>
      </c>
      <c r="C726" s="271"/>
      <c r="D726" s="271"/>
      <c r="E726" s="271"/>
      <c r="F726" s="272"/>
      <c r="G726" s="273">
        <v>421015</v>
      </c>
      <c r="H726" s="274">
        <v>1000000</v>
      </c>
      <c r="I726" s="275">
        <f>110381.75+16924+53331+72684</f>
        <v>253320.75</v>
      </c>
      <c r="J726" s="274">
        <v>72684</v>
      </c>
    </row>
    <row r="727" spans="1:10" s="259" customFormat="1" ht="24" x14ac:dyDescent="0.55000000000000004">
      <c r="A727" s="270" t="s">
        <v>363</v>
      </c>
      <c r="B727" s="271" t="s">
        <v>395</v>
      </c>
      <c r="C727" s="271"/>
      <c r="D727" s="271"/>
      <c r="E727" s="271"/>
      <c r="F727" s="272"/>
      <c r="G727" s="273">
        <v>421999</v>
      </c>
      <c r="H727" s="274">
        <v>10000</v>
      </c>
      <c r="I727" s="275"/>
      <c r="J727" s="274"/>
    </row>
    <row r="728" spans="1:10" s="259" customFormat="1" ht="24" x14ac:dyDescent="0.55000000000000004">
      <c r="A728" s="270" t="s">
        <v>365</v>
      </c>
      <c r="B728" s="271" t="s">
        <v>505</v>
      </c>
      <c r="C728" s="271"/>
      <c r="D728" s="271"/>
      <c r="E728" s="271"/>
      <c r="F728" s="272"/>
      <c r="G728" s="273"/>
      <c r="H728" s="268">
        <v>500000</v>
      </c>
      <c r="I728" s="269">
        <v>767.81</v>
      </c>
      <c r="J728" s="268"/>
    </row>
    <row r="729" spans="1:10" s="289" customFormat="1" ht="24" x14ac:dyDescent="0.55000000000000004">
      <c r="A729" s="297"/>
      <c r="B729" s="271"/>
      <c r="C729" s="271"/>
      <c r="D729" s="271"/>
      <c r="E729" s="861" t="s">
        <v>151</v>
      </c>
      <c r="F729" s="862"/>
      <c r="G729" s="298"/>
      <c r="H729" s="299">
        <f>SUM(H718:H728)</f>
        <v>11890000</v>
      </c>
      <c r="I729" s="300">
        <f>SUM(I718:I728)</f>
        <v>3917738.6799999997</v>
      </c>
      <c r="J729" s="299">
        <f>SUM(J718:J728)</f>
        <v>1019292.21</v>
      </c>
    </row>
    <row r="730" spans="1:10" s="289" customFormat="1" ht="24" x14ac:dyDescent="0.55000000000000004">
      <c r="A730" s="305"/>
      <c r="B730" s="306"/>
      <c r="C730" s="306"/>
      <c r="D730" s="306"/>
      <c r="E730" s="847"/>
      <c r="F730" s="848"/>
      <c r="G730" s="307"/>
      <c r="H730" s="299"/>
      <c r="I730" s="299"/>
      <c r="J730" s="299"/>
    </row>
    <row r="732" spans="1:10" s="289" customFormat="1" ht="24" x14ac:dyDescent="0.55000000000000004">
      <c r="A732" s="849"/>
      <c r="B732" s="849"/>
      <c r="C732" s="849"/>
      <c r="D732" s="849"/>
      <c r="G732" s="265"/>
      <c r="H732" s="258"/>
      <c r="I732" s="258"/>
      <c r="J732" s="258"/>
    </row>
    <row r="733" spans="1:10" s="289" customFormat="1" ht="24" x14ac:dyDescent="0.55000000000000004">
      <c r="A733" s="459"/>
      <c r="B733" s="459"/>
      <c r="C733" s="459"/>
      <c r="D733" s="459"/>
      <c r="H733" s="258"/>
      <c r="I733" s="258"/>
      <c r="J733" s="258"/>
    </row>
    <row r="734" spans="1:10" s="289" customFormat="1" ht="24" x14ac:dyDescent="0.55000000000000004">
      <c r="A734" s="459"/>
      <c r="B734" s="459"/>
      <c r="C734" s="459"/>
      <c r="D734" s="459"/>
      <c r="H734" s="258"/>
      <c r="I734" s="258"/>
      <c r="J734" s="258"/>
    </row>
    <row r="735" spans="1:10" s="289" customFormat="1" ht="24" x14ac:dyDescent="0.55000000000000004">
      <c r="A735" s="584"/>
      <c r="B735" s="584"/>
      <c r="C735" s="584"/>
      <c r="D735" s="584"/>
      <c r="H735" s="258"/>
      <c r="I735" s="258"/>
      <c r="J735" s="258"/>
    </row>
    <row r="736" spans="1:10" s="289" customFormat="1" ht="24" x14ac:dyDescent="0.55000000000000004">
      <c r="A736" s="584"/>
      <c r="B736" s="584"/>
      <c r="C736" s="584"/>
      <c r="D736" s="584"/>
      <c r="H736" s="258"/>
      <c r="I736" s="258"/>
      <c r="J736" s="258"/>
    </row>
    <row r="737" spans="1:11" s="289" customFormat="1" ht="24" x14ac:dyDescent="0.55000000000000004">
      <c r="A737" s="459"/>
      <c r="B737" s="459"/>
      <c r="C737" s="459"/>
      <c r="D737" s="459"/>
      <c r="F737" s="459" t="s">
        <v>491</v>
      </c>
      <c r="H737" s="258"/>
      <c r="I737" s="258"/>
      <c r="J737" s="258"/>
    </row>
    <row r="738" spans="1:11" s="289" customFormat="1" ht="24" x14ac:dyDescent="0.55000000000000004">
      <c r="A738" s="459"/>
      <c r="B738" s="459"/>
      <c r="C738" s="459"/>
      <c r="D738" s="459"/>
      <c r="F738" s="459"/>
      <c r="H738" s="258"/>
      <c r="I738" s="258"/>
      <c r="J738" s="258"/>
    </row>
    <row r="739" spans="1:11" s="289" customFormat="1" ht="24" x14ac:dyDescent="0.55000000000000004">
      <c r="A739" s="850"/>
      <c r="B739" s="851"/>
      <c r="C739" s="851"/>
      <c r="D739" s="851"/>
      <c r="E739" s="851"/>
      <c r="F739" s="852"/>
      <c r="G739" s="411" t="s">
        <v>78</v>
      </c>
      <c r="H739" s="411" t="s">
        <v>6</v>
      </c>
      <c r="I739" s="261" t="s">
        <v>335</v>
      </c>
      <c r="J739" s="412" t="s">
        <v>336</v>
      </c>
    </row>
    <row r="740" spans="1:11" s="289" customFormat="1" ht="24" x14ac:dyDescent="0.55000000000000004">
      <c r="A740" s="301" t="s">
        <v>396</v>
      </c>
      <c r="B740" s="302"/>
      <c r="C740" s="271"/>
      <c r="D740" s="271"/>
      <c r="E740" s="271"/>
      <c r="F740" s="272"/>
      <c r="G740" s="298"/>
      <c r="H740" s="268"/>
      <c r="I740" s="269"/>
      <c r="J740" s="268"/>
    </row>
    <row r="741" spans="1:11" s="289" customFormat="1" ht="24" x14ac:dyDescent="0.55000000000000004">
      <c r="A741" s="270" t="s">
        <v>339</v>
      </c>
      <c r="B741" s="271" t="s">
        <v>469</v>
      </c>
      <c r="C741" s="271"/>
      <c r="D741" s="271"/>
      <c r="E741" s="271"/>
      <c r="F741" s="272"/>
      <c r="G741" s="273">
        <v>431002</v>
      </c>
      <c r="H741" s="274">
        <v>4750000</v>
      </c>
      <c r="I741" s="275">
        <f>976141+976141</f>
        <v>1952282</v>
      </c>
      <c r="J741" s="274"/>
    </row>
    <row r="742" spans="1:11" s="289" customFormat="1" ht="24" x14ac:dyDescent="0.55000000000000004">
      <c r="A742" s="397"/>
      <c r="B742" s="271" t="s">
        <v>470</v>
      </c>
      <c r="C742" s="271"/>
      <c r="D742" s="271"/>
      <c r="E742" s="392"/>
      <c r="F742" s="398"/>
      <c r="G742" s="298"/>
      <c r="H742" s="402"/>
      <c r="I742" s="402"/>
      <c r="J742" s="402"/>
    </row>
    <row r="743" spans="1:11" s="289" customFormat="1" ht="24" x14ac:dyDescent="0.55000000000000004">
      <c r="A743" s="397"/>
      <c r="B743" s="271" t="s">
        <v>483</v>
      </c>
      <c r="C743" s="271"/>
      <c r="D743" s="392"/>
      <c r="E743" s="392"/>
      <c r="F743" s="398"/>
      <c r="G743" s="298"/>
      <c r="H743" s="402"/>
      <c r="I743" s="407">
        <f>69514+158955</f>
        <v>228469</v>
      </c>
      <c r="J743" s="407"/>
    </row>
    <row r="744" spans="1:11" s="289" customFormat="1" ht="24" x14ac:dyDescent="0.55000000000000004">
      <c r="A744" s="397"/>
      <c r="B744" s="271" t="s">
        <v>481</v>
      </c>
      <c r="C744" s="271"/>
      <c r="D744" s="392"/>
      <c r="E744" s="392"/>
      <c r="F744" s="398"/>
      <c r="G744" s="298"/>
      <c r="H744" s="402"/>
      <c r="I744" s="407">
        <f>244000+244000</f>
        <v>488000</v>
      </c>
      <c r="J744" s="407"/>
    </row>
    <row r="745" spans="1:11" s="289" customFormat="1" ht="24" x14ac:dyDescent="0.55000000000000004">
      <c r="A745" s="397"/>
      <c r="B745" s="271" t="s">
        <v>487</v>
      </c>
      <c r="C745" s="271"/>
      <c r="D745" s="271"/>
      <c r="E745" s="271"/>
      <c r="F745" s="272"/>
      <c r="G745" s="298"/>
      <c r="H745" s="274"/>
      <c r="I745" s="275">
        <v>8000</v>
      </c>
      <c r="J745" s="274"/>
    </row>
    <row r="746" spans="1:11" s="289" customFormat="1" ht="24" x14ac:dyDescent="0.55000000000000004">
      <c r="A746" s="397"/>
      <c r="B746" s="291" t="s">
        <v>486</v>
      </c>
      <c r="C746" s="291"/>
      <c r="D746" s="291"/>
      <c r="E746" s="265"/>
      <c r="F746" s="266"/>
      <c r="G746" s="402"/>
      <c r="H746" s="274"/>
      <c r="I746" s="275">
        <v>52500</v>
      </c>
      <c r="J746" s="274"/>
    </row>
    <row r="747" spans="1:11" s="289" customFormat="1" ht="24" x14ac:dyDescent="0.55000000000000004">
      <c r="A747" s="397"/>
      <c r="B747" s="271" t="s">
        <v>482</v>
      </c>
      <c r="C747" s="271"/>
      <c r="D747" s="271"/>
      <c r="E747" s="392"/>
      <c r="F747" s="398"/>
      <c r="G747" s="402"/>
      <c r="H747" s="274"/>
      <c r="I747" s="275">
        <f>7500+7500</f>
        <v>15000</v>
      </c>
      <c r="J747" s="274"/>
      <c r="K747" s="289">
        <v>3</v>
      </c>
    </row>
    <row r="748" spans="1:11" s="289" customFormat="1" ht="24" x14ac:dyDescent="0.55000000000000004">
      <c r="A748" s="397"/>
      <c r="B748" s="392"/>
      <c r="C748" s="392"/>
      <c r="D748" s="392"/>
      <c r="E748" s="392"/>
      <c r="F748" s="398"/>
      <c r="G748" s="402"/>
      <c r="H748" s="274"/>
      <c r="I748" s="275"/>
      <c r="J748" s="274"/>
    </row>
    <row r="749" spans="1:11" s="289" customFormat="1" ht="24" x14ac:dyDescent="0.55000000000000004">
      <c r="A749" s="397"/>
      <c r="B749" s="392"/>
      <c r="C749" s="392"/>
      <c r="D749" s="392"/>
      <c r="E749" s="392"/>
      <c r="F749" s="398"/>
      <c r="G749" s="402"/>
      <c r="H749" s="303"/>
      <c r="I749" s="399"/>
      <c r="J749" s="303"/>
    </row>
    <row r="750" spans="1:11" s="289" customFormat="1" ht="24" x14ac:dyDescent="0.55000000000000004">
      <c r="A750" s="305"/>
      <c r="B750" s="306"/>
      <c r="C750" s="306"/>
      <c r="D750" s="306"/>
      <c r="E750" s="847" t="s">
        <v>151</v>
      </c>
      <c r="F750" s="848"/>
      <c r="G750" s="307"/>
      <c r="H750" s="299">
        <f>SUM(H741)</f>
        <v>4750000</v>
      </c>
      <c r="I750" s="299">
        <f>SUM(I741:I749)</f>
        <v>2744251</v>
      </c>
      <c r="J750" s="299">
        <f>SUM(J741:J749)</f>
        <v>0</v>
      </c>
    </row>
    <row r="751" spans="1:11" s="289" customFormat="1" ht="28.5" customHeight="1" thickBot="1" x14ac:dyDescent="0.6">
      <c r="A751" s="464"/>
      <c r="B751" s="461"/>
      <c r="C751" s="461"/>
      <c r="D751" s="461"/>
      <c r="E751" s="462"/>
      <c r="F751" s="462" t="s">
        <v>397</v>
      </c>
      <c r="G751" s="463"/>
      <c r="H751" s="309">
        <f>+H669+H693+H704+H708+H712+H716+H729+H750</f>
        <v>22000000</v>
      </c>
      <c r="I751" s="309">
        <f>+I669+I693+I704+I708+I712+I716+I729+I750</f>
        <v>7933404.0700000003</v>
      </c>
      <c r="J751" s="309">
        <f>+J669+J693+J704+J708+J712+J716+J729+J750</f>
        <v>2002132.38</v>
      </c>
    </row>
    <row r="752" spans="1:11" ht="24.75" thickTop="1" x14ac:dyDescent="0.55000000000000004">
      <c r="A752" s="111"/>
      <c r="G752" s="402"/>
      <c r="H752" s="274"/>
      <c r="I752" s="275"/>
      <c r="J752" s="274"/>
    </row>
    <row r="753" spans="1:10" ht="24" x14ac:dyDescent="0.55000000000000004">
      <c r="A753" s="405" t="s">
        <v>477</v>
      </c>
      <c r="B753" s="406"/>
      <c r="C753" s="291"/>
      <c r="D753" s="291"/>
      <c r="E753" s="291"/>
      <c r="F753" s="292"/>
      <c r="G753" s="402"/>
      <c r="H753" s="268"/>
      <c r="I753" s="269"/>
      <c r="J753" s="268"/>
    </row>
    <row r="754" spans="1:10" ht="24" x14ac:dyDescent="0.55000000000000004">
      <c r="A754" s="270" t="s">
        <v>339</v>
      </c>
      <c r="B754" s="271" t="s">
        <v>476</v>
      </c>
      <c r="C754" s="271"/>
      <c r="D754" s="271"/>
      <c r="E754" s="271"/>
      <c r="F754" s="272"/>
      <c r="G754" s="273"/>
      <c r="H754" s="274"/>
      <c r="I754" s="275"/>
      <c r="J754" s="274"/>
    </row>
    <row r="755" spans="1:10" ht="24" x14ac:dyDescent="0.55000000000000004">
      <c r="A755" s="270"/>
      <c r="B755" s="271" t="s">
        <v>484</v>
      </c>
      <c r="C755" s="271"/>
      <c r="D755" s="271"/>
      <c r="E755" s="271"/>
      <c r="F755" s="272"/>
      <c r="G755" s="273"/>
      <c r="H755" s="274"/>
      <c r="I755" s="275">
        <f>1011900+674600</f>
        <v>1686500</v>
      </c>
      <c r="J755" s="274"/>
    </row>
    <row r="756" spans="1:10" ht="24" x14ac:dyDescent="0.55000000000000004">
      <c r="A756" s="270"/>
      <c r="B756" s="271" t="s">
        <v>485</v>
      </c>
      <c r="C756" s="271"/>
      <c r="D756" s="271"/>
      <c r="E756" s="271"/>
      <c r="F756" s="272"/>
      <c r="G756" s="273"/>
      <c r="H756" s="274"/>
      <c r="I756" s="453">
        <f>136800+136800</f>
        <v>273600</v>
      </c>
      <c r="J756" s="274"/>
    </row>
    <row r="757" spans="1:10" ht="24" x14ac:dyDescent="0.55000000000000004">
      <c r="A757" s="270"/>
      <c r="B757" s="302" t="s">
        <v>488</v>
      </c>
      <c r="C757" s="302"/>
      <c r="D757" s="302"/>
      <c r="E757" s="271"/>
      <c r="F757" s="272"/>
      <c r="G757" s="273"/>
      <c r="H757" s="274"/>
      <c r="I757" s="275"/>
      <c r="J757" s="274"/>
    </row>
    <row r="758" spans="1:10" ht="24" x14ac:dyDescent="0.55000000000000004">
      <c r="A758" s="270"/>
      <c r="B758" s="271" t="s">
        <v>478</v>
      </c>
      <c r="C758" s="271"/>
      <c r="D758" s="271"/>
      <c r="E758" s="271"/>
      <c r="F758" s="272"/>
      <c r="G758" s="273"/>
      <c r="H758" s="274"/>
      <c r="I758" s="275">
        <v>50400</v>
      </c>
      <c r="J758" s="274"/>
    </row>
    <row r="759" spans="1:10" ht="24" x14ac:dyDescent="0.55000000000000004">
      <c r="A759" s="270"/>
      <c r="B759" s="271" t="s">
        <v>479</v>
      </c>
      <c r="C759" s="271"/>
      <c r="D759" s="271"/>
      <c r="E759" s="271"/>
      <c r="F759" s="272"/>
      <c r="G759" s="273"/>
      <c r="H759" s="274"/>
      <c r="I759" s="275">
        <f>118290+78860+17955</f>
        <v>215105</v>
      </c>
      <c r="J759" s="274"/>
    </row>
    <row r="760" spans="1:10" ht="24" x14ac:dyDescent="0.55000000000000004">
      <c r="A760" s="270"/>
      <c r="B760" s="271" t="s">
        <v>522</v>
      </c>
      <c r="C760" s="271"/>
      <c r="D760" s="271"/>
      <c r="E760" s="271"/>
      <c r="F760" s="272"/>
      <c r="G760" s="273"/>
      <c r="H760" s="274"/>
      <c r="I760" s="275">
        <f>21800+68400+45600</f>
        <v>135800</v>
      </c>
      <c r="J760" s="274"/>
    </row>
    <row r="761" spans="1:10" ht="24" x14ac:dyDescent="0.55000000000000004">
      <c r="A761" s="270"/>
      <c r="B761" s="271" t="s">
        <v>521</v>
      </c>
      <c r="C761" s="271"/>
      <c r="D761" s="271"/>
      <c r="E761" s="271"/>
      <c r="F761" s="272"/>
      <c r="G761" s="273"/>
      <c r="H761" s="274"/>
      <c r="I761" s="275">
        <f>1090+3420+2280</f>
        <v>6790</v>
      </c>
      <c r="J761" s="274"/>
    </row>
    <row r="762" spans="1:10" ht="24" x14ac:dyDescent="0.55000000000000004">
      <c r="A762" s="270"/>
      <c r="B762" s="271" t="s">
        <v>489</v>
      </c>
      <c r="C762" s="271"/>
      <c r="D762" s="271"/>
      <c r="E762" s="271"/>
      <c r="F762" s="272"/>
      <c r="G762" s="273"/>
      <c r="H762" s="274"/>
      <c r="I762" s="275"/>
      <c r="J762" s="274"/>
    </row>
    <row r="763" spans="1:10" ht="24" x14ac:dyDescent="0.55000000000000004">
      <c r="A763" s="270"/>
      <c r="B763" s="271" t="s">
        <v>490</v>
      </c>
      <c r="C763" s="271"/>
      <c r="D763" s="271"/>
      <c r="E763" s="271"/>
      <c r="F763" s="272"/>
      <c r="G763" s="273"/>
      <c r="H763" s="274"/>
      <c r="I763" s="275"/>
      <c r="J763" s="274"/>
    </row>
    <row r="764" spans="1:10" ht="24" x14ac:dyDescent="0.55000000000000004">
      <c r="A764" s="270"/>
      <c r="B764" s="271"/>
      <c r="C764" s="271"/>
      <c r="D764" s="271"/>
      <c r="E764" s="271"/>
      <c r="F764" s="272"/>
      <c r="G764" s="273"/>
      <c r="H764" s="274"/>
      <c r="I764" s="275"/>
      <c r="J764" s="274"/>
    </row>
    <row r="765" spans="1:10" ht="24" x14ac:dyDescent="0.55000000000000004">
      <c r="A765" s="270"/>
      <c r="B765" s="271"/>
      <c r="C765" s="271"/>
      <c r="D765" s="271"/>
      <c r="E765" s="271"/>
      <c r="F765" s="272"/>
      <c r="G765" s="273"/>
      <c r="H765" s="274"/>
      <c r="I765" s="275"/>
      <c r="J765" s="274"/>
    </row>
    <row r="766" spans="1:10" ht="24" x14ac:dyDescent="0.55000000000000004">
      <c r="A766" s="305"/>
      <c r="B766" s="306"/>
      <c r="C766" s="306"/>
      <c r="D766" s="306"/>
      <c r="E766" s="847" t="s">
        <v>151</v>
      </c>
      <c r="F766" s="848"/>
      <c r="G766" s="307"/>
      <c r="H766" s="299">
        <f>SUM(H755:H765)</f>
        <v>0</v>
      </c>
      <c r="I766" s="299">
        <f>SUM(I755:I765)</f>
        <v>2368195</v>
      </c>
      <c r="J766" s="299">
        <f>SUM(J753:J765)</f>
        <v>0</v>
      </c>
    </row>
    <row r="767" spans="1:10" ht="24.75" thickBot="1" x14ac:dyDescent="0.6">
      <c r="A767" s="428"/>
      <c r="B767" s="265"/>
      <c r="C767" s="265"/>
      <c r="D767" s="265"/>
      <c r="E767" s="420" t="s">
        <v>506</v>
      </c>
      <c r="G767" s="265"/>
      <c r="H767" s="425">
        <f>SUM(H766)</f>
        <v>0</v>
      </c>
      <c r="I767" s="425">
        <f>SUM(I766)</f>
        <v>2368195</v>
      </c>
      <c r="J767" s="425">
        <f>SUM(J766)</f>
        <v>0</v>
      </c>
    </row>
    <row r="768" spans="1:10" ht="24" x14ac:dyDescent="0.55000000000000004">
      <c r="A768" s="421"/>
      <c r="B768" s="422"/>
      <c r="C768" s="422"/>
      <c r="D768" s="422"/>
      <c r="E768" s="423" t="s">
        <v>507</v>
      </c>
      <c r="F768" s="161"/>
      <c r="G768" s="424"/>
      <c r="H768" s="426"/>
      <c r="I768" s="426">
        <f>+I767+I751</f>
        <v>10301599.07</v>
      </c>
      <c r="J768" s="427">
        <f>+J767+J751</f>
        <v>2002132.38</v>
      </c>
    </row>
    <row r="769" spans="1:10" s="289" customFormat="1" ht="24" x14ac:dyDescent="0.55000000000000004"/>
    <row r="770" spans="1:10" s="312" customFormat="1" ht="24" x14ac:dyDescent="0.55000000000000004"/>
    <row r="771" spans="1:10" s="312" customFormat="1" ht="24" x14ac:dyDescent="0.55000000000000004">
      <c r="A771" s="400" t="s">
        <v>471</v>
      </c>
      <c r="B771" s="400"/>
      <c r="C771" s="400"/>
      <c r="D771" s="400"/>
      <c r="E771" s="400"/>
      <c r="F771" s="400" t="s">
        <v>509</v>
      </c>
      <c r="G771" s="401"/>
      <c r="H771" s="401"/>
      <c r="I771" s="258" t="s">
        <v>474</v>
      </c>
      <c r="J771" s="258"/>
    </row>
    <row r="772" spans="1:10" s="312" customFormat="1" ht="24" x14ac:dyDescent="0.55000000000000004">
      <c r="A772" s="400" t="s">
        <v>472</v>
      </c>
      <c r="B772" s="400"/>
      <c r="C772" s="400"/>
      <c r="D772" s="400"/>
      <c r="E772" s="400"/>
      <c r="F772" s="400" t="s">
        <v>510</v>
      </c>
      <c r="G772" s="401"/>
      <c r="H772" s="401"/>
      <c r="I772" s="258" t="s">
        <v>473</v>
      </c>
      <c r="J772" s="258"/>
    </row>
    <row r="773" spans="1:10" s="312" customFormat="1" ht="24" x14ac:dyDescent="0.55000000000000004">
      <c r="F773" s="400" t="s">
        <v>475</v>
      </c>
      <c r="G773" s="401"/>
      <c r="H773" s="401"/>
      <c r="I773" s="313"/>
      <c r="J773" s="313"/>
    </row>
    <row r="774" spans="1:10" s="312" customFormat="1" ht="24" x14ac:dyDescent="0.55000000000000004">
      <c r="F774" s="400"/>
      <c r="G774" s="401"/>
      <c r="H774" s="401"/>
      <c r="I774" s="313"/>
      <c r="J774" s="313"/>
    </row>
    <row r="775" spans="1:10" s="259" customFormat="1" ht="24" x14ac:dyDescent="0.55000000000000004">
      <c r="A775" s="853" t="s">
        <v>76</v>
      </c>
      <c r="B775" s="853"/>
      <c r="C775" s="853"/>
      <c r="D775" s="853"/>
      <c r="E775" s="853"/>
      <c r="F775" s="853"/>
      <c r="G775" s="853"/>
      <c r="H775" s="853"/>
      <c r="I775" s="853"/>
      <c r="J775" s="853"/>
    </row>
    <row r="776" spans="1:10" s="259" customFormat="1" ht="24" x14ac:dyDescent="0.55000000000000004">
      <c r="A776" s="853" t="s">
        <v>334</v>
      </c>
      <c r="B776" s="853"/>
      <c r="C776" s="853"/>
      <c r="D776" s="853"/>
      <c r="E776" s="853"/>
      <c r="F776" s="853"/>
      <c r="G776" s="853"/>
      <c r="H776" s="853"/>
      <c r="I776" s="853"/>
      <c r="J776" s="853"/>
    </row>
    <row r="777" spans="1:10" s="259" customFormat="1" ht="24" x14ac:dyDescent="0.55000000000000004">
      <c r="A777" s="854" t="s">
        <v>548</v>
      </c>
      <c r="B777" s="854"/>
      <c r="C777" s="854"/>
      <c r="D777" s="854"/>
      <c r="E777" s="854"/>
      <c r="F777" s="854"/>
      <c r="G777" s="854"/>
      <c r="H777" s="854"/>
      <c r="I777" s="854"/>
      <c r="J777" s="854"/>
    </row>
    <row r="778" spans="1:10" s="259" customFormat="1" ht="24" x14ac:dyDescent="0.55000000000000004">
      <c r="A778" s="855"/>
      <c r="B778" s="856"/>
      <c r="C778" s="856"/>
      <c r="D778" s="856"/>
      <c r="E778" s="856"/>
      <c r="F778" s="857"/>
      <c r="G778" s="260" t="s">
        <v>78</v>
      </c>
      <c r="H778" s="260" t="s">
        <v>6</v>
      </c>
      <c r="I778" s="261" t="s">
        <v>335</v>
      </c>
      <c r="J778" s="262" t="s">
        <v>336</v>
      </c>
    </row>
    <row r="779" spans="1:10" s="259" customFormat="1" ht="24" x14ac:dyDescent="0.55000000000000004">
      <c r="A779" s="263" t="s">
        <v>337</v>
      </c>
      <c r="B779" s="264"/>
      <c r="C779" s="265"/>
      <c r="D779" s="265"/>
      <c r="E779" s="265"/>
      <c r="F779" s="266"/>
      <c r="G779" s="267"/>
      <c r="H779" s="268"/>
      <c r="I779" s="269"/>
      <c r="J779" s="268"/>
    </row>
    <row r="780" spans="1:10" s="259" customFormat="1" ht="24" x14ac:dyDescent="0.55000000000000004">
      <c r="A780" s="263" t="s">
        <v>338</v>
      </c>
      <c r="B780" s="264"/>
      <c r="C780" s="265"/>
      <c r="D780" s="265"/>
      <c r="E780" s="265"/>
      <c r="F780" s="266"/>
      <c r="G780" s="267"/>
      <c r="H780" s="268"/>
      <c r="I780" s="269"/>
      <c r="J780" s="268"/>
    </row>
    <row r="781" spans="1:10" s="259" customFormat="1" ht="24" x14ac:dyDescent="0.55000000000000004">
      <c r="A781" s="270" t="s">
        <v>339</v>
      </c>
      <c r="B781" s="271" t="s">
        <v>340</v>
      </c>
      <c r="C781" s="271"/>
      <c r="D781" s="271"/>
      <c r="E781" s="271"/>
      <c r="F781" s="272"/>
      <c r="G781" s="273">
        <v>411001</v>
      </c>
      <c r="H781" s="274">
        <v>3900000</v>
      </c>
      <c r="I781" s="275">
        <f>187018.1+4119328.13</f>
        <v>4306346.2299999995</v>
      </c>
      <c r="J781" s="274">
        <v>4119328.13</v>
      </c>
    </row>
    <row r="782" spans="1:10" s="259" customFormat="1" ht="24" x14ac:dyDescent="0.55000000000000004">
      <c r="A782" s="270" t="s">
        <v>341</v>
      </c>
      <c r="B782" s="271" t="s">
        <v>342</v>
      </c>
      <c r="C782" s="271"/>
      <c r="D782" s="271"/>
      <c r="E782" s="271"/>
      <c r="F782" s="272"/>
      <c r="G782" s="273">
        <v>411002</v>
      </c>
      <c r="H782" s="274">
        <v>50000</v>
      </c>
      <c r="I782" s="275">
        <f>222.3+653.6+2296.15+2449.1+20855.35</f>
        <v>26476.5</v>
      </c>
      <c r="J782" s="274">
        <v>20855.349999999999</v>
      </c>
    </row>
    <row r="783" spans="1:10" s="259" customFormat="1" ht="24" x14ac:dyDescent="0.55000000000000004">
      <c r="A783" s="270" t="s">
        <v>343</v>
      </c>
      <c r="B783" s="271" t="s">
        <v>344</v>
      </c>
      <c r="C783" s="271"/>
      <c r="D783" s="271"/>
      <c r="E783" s="271"/>
      <c r="F783" s="272"/>
      <c r="G783" s="273">
        <v>411003</v>
      </c>
      <c r="H783" s="274">
        <v>20000</v>
      </c>
      <c r="I783" s="275">
        <f>2919+15360</f>
        <v>18279</v>
      </c>
      <c r="J783" s="274">
        <v>15360</v>
      </c>
    </row>
    <row r="784" spans="1:10" s="259" customFormat="1" ht="24" x14ac:dyDescent="0.55000000000000004">
      <c r="A784" s="270" t="s">
        <v>345</v>
      </c>
      <c r="B784" s="271" t="s">
        <v>346</v>
      </c>
      <c r="C784" s="271"/>
      <c r="D784" s="271"/>
      <c r="E784" s="271"/>
      <c r="F784" s="272"/>
      <c r="G784" s="273">
        <v>411004</v>
      </c>
      <c r="H784" s="274">
        <v>0</v>
      </c>
      <c r="I784" s="275">
        <v>0</v>
      </c>
      <c r="J784" s="274">
        <v>0</v>
      </c>
    </row>
    <row r="785" spans="1:11" s="259" customFormat="1" ht="24" x14ac:dyDescent="0.55000000000000004">
      <c r="A785" s="270" t="s">
        <v>347</v>
      </c>
      <c r="B785" s="271" t="s">
        <v>348</v>
      </c>
      <c r="C785" s="271"/>
      <c r="D785" s="271"/>
      <c r="E785" s="271"/>
      <c r="F785" s="272"/>
      <c r="G785" s="273">
        <v>411005</v>
      </c>
      <c r="H785" s="276">
        <v>100000</v>
      </c>
      <c r="I785" s="277">
        <f>24629.02+645270.57</f>
        <v>669899.59</v>
      </c>
      <c r="J785" s="276">
        <v>0</v>
      </c>
    </row>
    <row r="786" spans="1:11" s="259" customFormat="1" ht="24" x14ac:dyDescent="0.55000000000000004">
      <c r="A786" s="270"/>
      <c r="B786" s="271"/>
      <c r="C786" s="271"/>
      <c r="D786" s="271"/>
      <c r="E786" s="271"/>
      <c r="F786" s="272"/>
      <c r="G786" s="273"/>
      <c r="H786" s="299">
        <f>SUM(H781:H785)</f>
        <v>4070000</v>
      </c>
      <c r="I786" s="300">
        <f>SUM(I781:I785)</f>
        <v>5021001.3199999994</v>
      </c>
      <c r="J786" s="299">
        <f>SUM(J781:J785)</f>
        <v>4155543.48</v>
      </c>
    </row>
    <row r="787" spans="1:11" s="259" customFormat="1" ht="24" x14ac:dyDescent="0.55000000000000004">
      <c r="A787" s="263" t="s">
        <v>349</v>
      </c>
      <c r="B787" s="278"/>
      <c r="C787" s="278"/>
      <c r="D787" s="278"/>
      <c r="E787" s="279"/>
      <c r="F787" s="280"/>
      <c r="G787" s="281"/>
      <c r="H787" s="282"/>
      <c r="I787" s="283"/>
      <c r="J787" s="268"/>
    </row>
    <row r="788" spans="1:11" s="259" customFormat="1" ht="24" x14ac:dyDescent="0.55000000000000004">
      <c r="A788" s="270" t="s">
        <v>339</v>
      </c>
      <c r="B788" s="271" t="s">
        <v>350</v>
      </c>
      <c r="C788" s="284"/>
      <c r="D788" s="284"/>
      <c r="E788" s="284"/>
      <c r="F788" s="285"/>
      <c r="G788" s="286">
        <v>412103</v>
      </c>
      <c r="H788" s="287">
        <v>500</v>
      </c>
      <c r="I788" s="288">
        <f>155.2+252.2+213.4+213.4</f>
        <v>834.19999999999993</v>
      </c>
      <c r="J788" s="274">
        <v>213.4</v>
      </c>
    </row>
    <row r="789" spans="1:11" s="259" customFormat="1" ht="24" x14ac:dyDescent="0.55000000000000004">
      <c r="A789" s="270" t="s">
        <v>341</v>
      </c>
      <c r="B789" s="271" t="s">
        <v>351</v>
      </c>
      <c r="C789" s="284"/>
      <c r="D789" s="284"/>
      <c r="E789" s="284"/>
      <c r="F789" s="285"/>
      <c r="G789" s="286">
        <v>412104</v>
      </c>
      <c r="H789" s="287">
        <v>500</v>
      </c>
      <c r="I789" s="288"/>
      <c r="J789" s="274"/>
    </row>
    <row r="790" spans="1:11" s="259" customFormat="1" ht="24" x14ac:dyDescent="0.55000000000000004">
      <c r="A790" s="270" t="s">
        <v>343</v>
      </c>
      <c r="B790" s="271" t="s">
        <v>352</v>
      </c>
      <c r="C790" s="284"/>
      <c r="D790" s="284"/>
      <c r="E790" s="284"/>
      <c r="F790" s="285"/>
      <c r="G790" s="286">
        <v>4120106</v>
      </c>
      <c r="H790" s="287">
        <v>20000</v>
      </c>
      <c r="I790" s="288">
        <f>292+24+164+2398+65</f>
        <v>2943</v>
      </c>
      <c r="J790" s="274">
        <v>65</v>
      </c>
    </row>
    <row r="791" spans="1:11" s="259" customFormat="1" ht="24" x14ac:dyDescent="0.55000000000000004">
      <c r="A791" s="270" t="s">
        <v>345</v>
      </c>
      <c r="B791" s="271" t="s">
        <v>456</v>
      </c>
      <c r="C791" s="284"/>
      <c r="D791" s="284"/>
      <c r="E791" s="284"/>
      <c r="F791" s="285"/>
      <c r="G791" s="286"/>
      <c r="H791" s="287">
        <v>500</v>
      </c>
      <c r="I791" s="288"/>
      <c r="J791" s="274"/>
    </row>
    <row r="792" spans="1:11" s="259" customFormat="1" ht="24" x14ac:dyDescent="0.55000000000000004">
      <c r="A792" s="270" t="s">
        <v>347</v>
      </c>
      <c r="B792" s="271" t="s">
        <v>457</v>
      </c>
      <c r="C792" s="284"/>
      <c r="D792" s="284"/>
      <c r="E792" s="284"/>
      <c r="F792" s="285"/>
      <c r="G792" s="286"/>
      <c r="H792" s="287">
        <v>500</v>
      </c>
      <c r="I792" s="288"/>
      <c r="J792" s="274"/>
    </row>
    <row r="793" spans="1:11" s="259" customFormat="1" ht="24" x14ac:dyDescent="0.55000000000000004">
      <c r="A793" s="270"/>
      <c r="B793" s="271" t="s">
        <v>458</v>
      </c>
      <c r="C793" s="284"/>
      <c r="D793" s="284"/>
      <c r="E793" s="284"/>
      <c r="F793" s="285"/>
      <c r="G793" s="286"/>
      <c r="H793" s="287"/>
      <c r="I793" s="288"/>
      <c r="J793" s="274"/>
    </row>
    <row r="794" spans="1:11" s="259" customFormat="1" ht="24" x14ac:dyDescent="0.55000000000000004">
      <c r="A794" s="270" t="s">
        <v>355</v>
      </c>
      <c r="B794" s="271" t="s">
        <v>459</v>
      </c>
      <c r="C794" s="284"/>
      <c r="D794" s="284"/>
      <c r="E794" s="284"/>
      <c r="F794" s="285"/>
      <c r="G794" s="286"/>
      <c r="H794" s="287">
        <v>500</v>
      </c>
      <c r="I794" s="288"/>
      <c r="J794" s="274"/>
    </row>
    <row r="795" spans="1:11" s="259" customFormat="1" ht="24" x14ac:dyDescent="0.55000000000000004">
      <c r="A795" s="270"/>
      <c r="B795" s="271" t="s">
        <v>460</v>
      </c>
      <c r="C795" s="284"/>
      <c r="D795" s="284"/>
      <c r="E795" s="284"/>
      <c r="F795" s="285"/>
      <c r="G795" s="286"/>
      <c r="H795" s="287"/>
      <c r="I795" s="288"/>
      <c r="J795" s="274"/>
    </row>
    <row r="796" spans="1:11" s="289" customFormat="1" ht="24" x14ac:dyDescent="0.55000000000000004">
      <c r="A796" s="290" t="s">
        <v>357</v>
      </c>
      <c r="B796" s="271" t="s">
        <v>353</v>
      </c>
      <c r="C796" s="271"/>
      <c r="D796" s="271"/>
      <c r="E796" s="271"/>
      <c r="F796" s="272"/>
      <c r="G796" s="286">
        <v>412128</v>
      </c>
      <c r="H796" s="274">
        <v>1000</v>
      </c>
      <c r="I796" s="275">
        <f>50+50+50+100+50+70</f>
        <v>370</v>
      </c>
      <c r="J796" s="274">
        <v>70</v>
      </c>
    </row>
    <row r="797" spans="1:11" s="289" customFormat="1" ht="24" x14ac:dyDescent="0.55000000000000004">
      <c r="A797" s="290" t="s">
        <v>359</v>
      </c>
      <c r="B797" s="271" t="s">
        <v>461</v>
      </c>
      <c r="C797" s="271"/>
      <c r="D797" s="271"/>
      <c r="E797" s="271"/>
      <c r="F797" s="272"/>
      <c r="G797" s="286"/>
      <c r="H797" s="274">
        <v>500</v>
      </c>
      <c r="I797" s="275"/>
      <c r="J797" s="274"/>
      <c r="K797" s="289">
        <v>1</v>
      </c>
    </row>
    <row r="798" spans="1:11" s="289" customFormat="1" ht="24" x14ac:dyDescent="0.55000000000000004">
      <c r="A798" s="270" t="s">
        <v>361</v>
      </c>
      <c r="B798" s="271" t="s">
        <v>354</v>
      </c>
      <c r="C798" s="271"/>
      <c r="D798" s="271"/>
      <c r="E798" s="271"/>
      <c r="F798" s="272"/>
      <c r="G798" s="286">
        <v>412199</v>
      </c>
      <c r="H798" s="274">
        <v>1500</v>
      </c>
      <c r="I798" s="275">
        <f>200+10+10</f>
        <v>220</v>
      </c>
      <c r="J798" s="274">
        <v>10</v>
      </c>
    </row>
    <row r="799" spans="1:11" s="289" customFormat="1" ht="24" x14ac:dyDescent="0.55000000000000004">
      <c r="A799" s="270" t="s">
        <v>363</v>
      </c>
      <c r="B799" s="271" t="s">
        <v>356</v>
      </c>
      <c r="C799" s="271"/>
      <c r="D799" s="271"/>
      <c r="E799" s="271"/>
      <c r="F799" s="272"/>
      <c r="G799" s="286"/>
      <c r="H799" s="274">
        <v>1500</v>
      </c>
      <c r="I799" s="275">
        <f>200+650+200+450</f>
        <v>1500</v>
      </c>
      <c r="J799" s="274"/>
    </row>
    <row r="800" spans="1:11" s="289" customFormat="1" ht="24" x14ac:dyDescent="0.55000000000000004">
      <c r="A800" s="270" t="s">
        <v>365</v>
      </c>
      <c r="B800" s="271" t="s">
        <v>358</v>
      </c>
      <c r="C800" s="271"/>
      <c r="D800" s="271"/>
      <c r="E800" s="271"/>
      <c r="F800" s="272"/>
      <c r="G800" s="286"/>
      <c r="H800" s="274">
        <v>50000</v>
      </c>
      <c r="I800" s="275">
        <f>76160+8160</f>
        <v>84320</v>
      </c>
      <c r="J800" s="274">
        <v>8160</v>
      </c>
    </row>
    <row r="801" spans="1:10" s="289" customFormat="1" ht="24" x14ac:dyDescent="0.55000000000000004">
      <c r="A801" s="270" t="s">
        <v>367</v>
      </c>
      <c r="B801" s="271" t="s">
        <v>360</v>
      </c>
      <c r="C801" s="271"/>
      <c r="D801" s="271"/>
      <c r="E801" s="271"/>
      <c r="F801" s="272"/>
      <c r="G801" s="286">
        <v>412211</v>
      </c>
      <c r="H801" s="274">
        <v>500</v>
      </c>
      <c r="I801" s="275"/>
      <c r="J801" s="274"/>
    </row>
    <row r="802" spans="1:10" s="291" customFormat="1" ht="24" x14ac:dyDescent="0.55000000000000004">
      <c r="A802" s="270" t="s">
        <v>369</v>
      </c>
      <c r="B802" s="291" t="s">
        <v>362</v>
      </c>
      <c r="F802" s="292"/>
      <c r="G802" s="293">
        <v>412299</v>
      </c>
      <c r="H802" s="294">
        <v>500</v>
      </c>
      <c r="I802" s="295"/>
      <c r="J802" s="294"/>
    </row>
    <row r="803" spans="1:10" s="265" customFormat="1" ht="24" x14ac:dyDescent="0.55000000000000004">
      <c r="A803" s="270" t="s">
        <v>371</v>
      </c>
      <c r="B803" s="291" t="s">
        <v>462</v>
      </c>
      <c r="C803" s="291"/>
      <c r="D803" s="291"/>
      <c r="E803" s="291"/>
      <c r="F803" s="292"/>
      <c r="G803" s="293"/>
      <c r="H803" s="294">
        <v>500</v>
      </c>
      <c r="I803" s="295"/>
      <c r="J803" s="294"/>
    </row>
    <row r="804" spans="1:10" s="289" customFormat="1" ht="24" x14ac:dyDescent="0.55000000000000004">
      <c r="A804" s="270" t="s">
        <v>373</v>
      </c>
      <c r="B804" s="291" t="s">
        <v>364</v>
      </c>
      <c r="C804" s="291"/>
      <c r="D804" s="291"/>
      <c r="E804" s="291"/>
      <c r="F804" s="292"/>
      <c r="G804" s="296">
        <v>412303</v>
      </c>
      <c r="H804" s="294">
        <v>500</v>
      </c>
      <c r="I804" s="295">
        <v>100</v>
      </c>
      <c r="J804" s="294">
        <v>100</v>
      </c>
    </row>
    <row r="805" spans="1:10" s="289" customFormat="1" ht="24" x14ac:dyDescent="0.55000000000000004">
      <c r="A805" s="270" t="s">
        <v>463</v>
      </c>
      <c r="B805" s="271" t="s">
        <v>366</v>
      </c>
      <c r="C805" s="271"/>
      <c r="D805" s="271"/>
      <c r="E805" s="271"/>
      <c r="F805" s="272"/>
      <c r="G805" s="273">
        <v>412304</v>
      </c>
      <c r="H805" s="274">
        <v>500</v>
      </c>
      <c r="I805" s="275"/>
      <c r="J805" s="274"/>
    </row>
    <row r="806" spans="1:10" s="289" customFormat="1" ht="24" x14ac:dyDescent="0.55000000000000004">
      <c r="A806" s="270" t="s">
        <v>464</v>
      </c>
      <c r="B806" s="271" t="s">
        <v>368</v>
      </c>
      <c r="C806" s="271"/>
      <c r="D806" s="271"/>
      <c r="E806" s="271"/>
      <c r="F806" s="272"/>
      <c r="G806" s="273">
        <v>412305</v>
      </c>
      <c r="H806" s="274">
        <v>500</v>
      </c>
      <c r="I806" s="275"/>
      <c r="J806" s="274"/>
    </row>
    <row r="807" spans="1:10" s="289" customFormat="1" ht="24" x14ac:dyDescent="0.55000000000000004">
      <c r="A807" s="270" t="s">
        <v>465</v>
      </c>
      <c r="B807" s="271" t="s">
        <v>370</v>
      </c>
      <c r="C807" s="271"/>
      <c r="D807" s="271"/>
      <c r="E807" s="271"/>
      <c r="F807" s="272"/>
      <c r="G807" s="273">
        <v>412306</v>
      </c>
      <c r="H807" s="276">
        <v>500</v>
      </c>
      <c r="I807" s="277"/>
      <c r="J807" s="274"/>
    </row>
    <row r="808" spans="1:10" s="289" customFormat="1" ht="24" x14ac:dyDescent="0.55000000000000004">
      <c r="A808" s="270" t="s">
        <v>466</v>
      </c>
      <c r="B808" s="271" t="s">
        <v>372</v>
      </c>
      <c r="C808" s="271"/>
      <c r="D808" s="271"/>
      <c r="E808" s="271"/>
      <c r="F808" s="272"/>
      <c r="G808" s="273">
        <v>412307</v>
      </c>
      <c r="H808" s="276">
        <v>2000</v>
      </c>
      <c r="I808" s="277">
        <f>20+20+40+80+20</f>
        <v>180</v>
      </c>
      <c r="J808" s="274">
        <v>20</v>
      </c>
    </row>
    <row r="809" spans="1:10" s="289" customFormat="1" ht="24" x14ac:dyDescent="0.55000000000000004">
      <c r="A809" s="270" t="s">
        <v>467</v>
      </c>
      <c r="B809" s="271" t="s">
        <v>374</v>
      </c>
      <c r="C809" s="271"/>
      <c r="D809" s="271"/>
      <c r="E809" s="271"/>
      <c r="F809" s="272"/>
      <c r="G809" s="273">
        <v>412399</v>
      </c>
      <c r="H809" s="276">
        <v>500</v>
      </c>
      <c r="I809" s="277">
        <f>70+30+20+500</f>
        <v>620</v>
      </c>
      <c r="J809" s="268">
        <v>500</v>
      </c>
    </row>
    <row r="810" spans="1:10" s="289" customFormat="1" ht="24" x14ac:dyDescent="0.55000000000000004">
      <c r="A810" s="305"/>
      <c r="B810" s="306"/>
      <c r="C810" s="306"/>
      <c r="D810" s="306"/>
      <c r="E810" s="847"/>
      <c r="F810" s="848"/>
      <c r="G810" s="396"/>
      <c r="H810" s="299">
        <f>SUM(H788:H809)</f>
        <v>83000</v>
      </c>
      <c r="I810" s="300">
        <f>SUM(I788:I809)</f>
        <v>91087.2</v>
      </c>
      <c r="J810" s="299">
        <f>SUM(J788:J809)</f>
        <v>9138.4</v>
      </c>
    </row>
    <row r="815" spans="1:10" s="289" customFormat="1" ht="24" x14ac:dyDescent="0.55000000000000004">
      <c r="A815" s="858" t="s">
        <v>455</v>
      </c>
      <c r="B815" s="858"/>
      <c r="C815" s="858"/>
      <c r="D815" s="858"/>
      <c r="E815" s="858"/>
      <c r="F815" s="858"/>
      <c r="G815" s="858"/>
      <c r="H815" s="858"/>
      <c r="I815" s="858"/>
      <c r="J815" s="858"/>
    </row>
    <row r="816" spans="1:10" s="289" customFormat="1" ht="24" x14ac:dyDescent="0.55000000000000004">
      <c r="A816" s="395"/>
      <c r="B816" s="395"/>
      <c r="C816" s="395"/>
      <c r="D816" s="395"/>
      <c r="E816" s="395"/>
      <c r="F816" s="395"/>
      <c r="G816" s="395"/>
      <c r="H816" s="395"/>
      <c r="I816" s="395"/>
      <c r="J816" s="395"/>
    </row>
    <row r="817" spans="1:11" s="259" customFormat="1" ht="24" x14ac:dyDescent="0.55000000000000004">
      <c r="A817" s="855"/>
      <c r="B817" s="856"/>
      <c r="C817" s="856"/>
      <c r="D817" s="856"/>
      <c r="E817" s="856"/>
      <c r="F817" s="857"/>
      <c r="G817" s="260" t="s">
        <v>78</v>
      </c>
      <c r="H817" s="260" t="s">
        <v>6</v>
      </c>
      <c r="I817" s="261" t="s">
        <v>335</v>
      </c>
      <c r="J817" s="262" t="s">
        <v>336</v>
      </c>
    </row>
    <row r="818" spans="1:11" s="289" customFormat="1" ht="24" x14ac:dyDescent="0.55000000000000004">
      <c r="A818" s="301" t="s">
        <v>375</v>
      </c>
      <c r="B818" s="302"/>
      <c r="C818" s="302"/>
      <c r="D818" s="271"/>
      <c r="E818" s="271"/>
      <c r="F818" s="272"/>
      <c r="G818" s="298"/>
      <c r="H818" s="268"/>
      <c r="I818" s="269"/>
      <c r="J818" s="268"/>
    </row>
    <row r="819" spans="1:11" s="289" customFormat="1" ht="24" x14ac:dyDescent="0.55000000000000004">
      <c r="A819" s="270" t="s">
        <v>339</v>
      </c>
      <c r="B819" s="271" t="s">
        <v>376</v>
      </c>
      <c r="C819" s="271"/>
      <c r="D819" s="271"/>
      <c r="E819" s="271"/>
      <c r="F819" s="272"/>
      <c r="G819" s="273">
        <v>413003</v>
      </c>
      <c r="H819" s="276">
        <v>100000</v>
      </c>
      <c r="I819" s="277">
        <f>33122.75+16284.37</f>
        <v>49407.12</v>
      </c>
      <c r="J819" s="274">
        <v>16284.37</v>
      </c>
    </row>
    <row r="820" spans="1:11" s="259" customFormat="1" ht="24" x14ac:dyDescent="0.55000000000000004">
      <c r="A820" s="270" t="s">
        <v>341</v>
      </c>
      <c r="B820" s="271" t="s">
        <v>377</v>
      </c>
      <c r="C820" s="271"/>
      <c r="D820" s="271"/>
      <c r="E820" s="271"/>
      <c r="F820" s="272"/>
      <c r="G820" s="273">
        <v>413999</v>
      </c>
      <c r="H820" s="276">
        <v>10000</v>
      </c>
      <c r="I820" s="277">
        <v>0</v>
      </c>
      <c r="J820" s="268">
        <v>0</v>
      </c>
    </row>
    <row r="821" spans="1:11" s="259" customFormat="1" ht="24" x14ac:dyDescent="0.55000000000000004">
      <c r="A821" s="270"/>
      <c r="B821" s="271"/>
      <c r="C821" s="271"/>
      <c r="D821" s="271"/>
      <c r="E821" s="271"/>
      <c r="F821" s="272"/>
      <c r="G821" s="273"/>
      <c r="H821" s="299">
        <f>SUM(H819:H820)</f>
        <v>110000</v>
      </c>
      <c r="I821" s="300">
        <f>SUM(I819:I820)</f>
        <v>49407.12</v>
      </c>
      <c r="J821" s="299">
        <f>SUM(J819:J820)</f>
        <v>16284.37</v>
      </c>
    </row>
    <row r="822" spans="1:11" s="289" customFormat="1" ht="24" x14ac:dyDescent="0.55000000000000004">
      <c r="A822" s="301" t="s">
        <v>378</v>
      </c>
      <c r="B822" s="302"/>
      <c r="C822" s="302"/>
      <c r="D822" s="302"/>
      <c r="E822" s="302"/>
      <c r="F822" s="272"/>
      <c r="G822" s="298"/>
      <c r="H822" s="268"/>
      <c r="I822" s="269"/>
      <c r="J822" s="268"/>
    </row>
    <row r="823" spans="1:11" s="289" customFormat="1" ht="24" x14ac:dyDescent="0.55000000000000004">
      <c r="A823" s="270" t="s">
        <v>339</v>
      </c>
      <c r="B823" s="271" t="s">
        <v>21</v>
      </c>
      <c r="C823" s="271"/>
      <c r="D823" s="271"/>
      <c r="E823" s="271"/>
      <c r="F823" s="272"/>
      <c r="G823" s="273">
        <v>414006</v>
      </c>
      <c r="H823" s="274">
        <v>1000000</v>
      </c>
      <c r="I823" s="275">
        <f>41213+40907+47749+76891+68560+118069</f>
        <v>393389</v>
      </c>
      <c r="J823" s="274">
        <v>118069</v>
      </c>
    </row>
    <row r="824" spans="1:11" s="289" customFormat="1" ht="24" x14ac:dyDescent="0.55000000000000004">
      <c r="A824" s="270" t="s">
        <v>341</v>
      </c>
      <c r="B824" s="271" t="s">
        <v>379</v>
      </c>
      <c r="C824" s="271"/>
      <c r="D824" s="271"/>
      <c r="E824" s="271"/>
      <c r="F824" s="272"/>
      <c r="G824" s="273">
        <v>414999</v>
      </c>
      <c r="H824" s="268">
        <v>5000</v>
      </c>
      <c r="I824" s="269">
        <f>200+200+200+400+200+400</f>
        <v>1600</v>
      </c>
      <c r="J824" s="303">
        <f>200+200</f>
        <v>400</v>
      </c>
    </row>
    <row r="825" spans="1:11" s="289" customFormat="1" ht="24" x14ac:dyDescent="0.55000000000000004">
      <c r="A825" s="391"/>
      <c r="B825" s="392"/>
      <c r="C825" s="392"/>
      <c r="D825" s="392"/>
      <c r="E825" s="859" t="s">
        <v>151</v>
      </c>
      <c r="F825" s="860"/>
      <c r="G825" s="393"/>
      <c r="H825" s="299">
        <f>SUM(H823:H824)</f>
        <v>1005000</v>
      </c>
      <c r="I825" s="300">
        <f>SUM(I823:I824)</f>
        <v>394989</v>
      </c>
      <c r="J825" s="299">
        <f>SUM(J823:J824)</f>
        <v>118469</v>
      </c>
    </row>
    <row r="826" spans="1:11" s="289" customFormat="1" ht="24" x14ac:dyDescent="0.55000000000000004">
      <c r="A826" s="301" t="s">
        <v>380</v>
      </c>
      <c r="B826" s="302"/>
      <c r="C826" s="302"/>
      <c r="D826" s="271"/>
      <c r="E826" s="271"/>
      <c r="F826" s="272"/>
      <c r="G826" s="298"/>
      <c r="H826" s="268"/>
      <c r="I826" s="269"/>
      <c r="J826" s="268"/>
    </row>
    <row r="827" spans="1:11" s="289" customFormat="1" ht="24" x14ac:dyDescent="0.55000000000000004">
      <c r="A827" s="270" t="s">
        <v>339</v>
      </c>
      <c r="B827" s="271" t="s">
        <v>381</v>
      </c>
      <c r="C827" s="271"/>
      <c r="D827" s="271"/>
      <c r="E827" s="271"/>
      <c r="F827" s="272"/>
      <c r="G827" s="273">
        <v>415004</v>
      </c>
      <c r="H827" s="274">
        <v>80000</v>
      </c>
      <c r="I827" s="277">
        <f>3000+7200</f>
        <v>10200</v>
      </c>
      <c r="J827" s="274">
        <v>0</v>
      </c>
      <c r="K827" s="289">
        <v>2</v>
      </c>
    </row>
    <row r="828" spans="1:11" s="289" customFormat="1" ht="24" x14ac:dyDescent="0.55000000000000004">
      <c r="A828" s="270" t="s">
        <v>341</v>
      </c>
      <c r="B828" s="271" t="s">
        <v>382</v>
      </c>
      <c r="C828" s="271"/>
      <c r="D828" s="271"/>
      <c r="E828" s="271"/>
      <c r="F828" s="272"/>
      <c r="G828" s="273">
        <v>415999</v>
      </c>
      <c r="H828" s="276">
        <v>10000</v>
      </c>
      <c r="I828" s="277">
        <v>500</v>
      </c>
      <c r="J828" s="268">
        <v>0</v>
      </c>
    </row>
    <row r="829" spans="1:11" s="289" customFormat="1" ht="24" x14ac:dyDescent="0.55000000000000004">
      <c r="A829" s="270"/>
      <c r="B829" s="271"/>
      <c r="C829" s="271"/>
      <c r="D829" s="271"/>
      <c r="E829" s="271"/>
      <c r="F829" s="272"/>
      <c r="G829" s="273"/>
      <c r="H829" s="299">
        <f>SUM(H827:H828)</f>
        <v>90000</v>
      </c>
      <c r="I829" s="300">
        <f>SUM(I827:I828)</f>
        <v>10700</v>
      </c>
      <c r="J829" s="299">
        <f>SUM(J827:J828)</f>
        <v>0</v>
      </c>
    </row>
    <row r="830" spans="1:11" s="289" customFormat="1" ht="24" x14ac:dyDescent="0.55000000000000004">
      <c r="A830" s="301" t="s">
        <v>383</v>
      </c>
      <c r="B830" s="302"/>
      <c r="C830" s="302"/>
      <c r="D830" s="271"/>
      <c r="E830" s="271"/>
      <c r="F830" s="272"/>
      <c r="G830" s="298"/>
      <c r="H830" s="268"/>
      <c r="I830" s="269"/>
      <c r="J830" s="268"/>
    </row>
    <row r="831" spans="1:11" s="289" customFormat="1" ht="24" x14ac:dyDescent="0.55000000000000004">
      <c r="A831" s="270" t="s">
        <v>339</v>
      </c>
      <c r="B831" s="271" t="s">
        <v>384</v>
      </c>
      <c r="C831" s="271"/>
      <c r="D831" s="271"/>
      <c r="E831" s="271"/>
      <c r="F831" s="272"/>
      <c r="G831" s="273">
        <v>416001</v>
      </c>
      <c r="H831" s="274">
        <v>2000</v>
      </c>
      <c r="I831" s="277">
        <v>3665</v>
      </c>
      <c r="J831" s="274">
        <v>0</v>
      </c>
    </row>
    <row r="832" spans="1:11" s="289" customFormat="1" ht="24" x14ac:dyDescent="0.55000000000000004">
      <c r="A832" s="270" t="s">
        <v>341</v>
      </c>
      <c r="B832" s="271" t="s">
        <v>385</v>
      </c>
      <c r="C832" s="271"/>
      <c r="D832" s="271"/>
      <c r="E832" s="271"/>
      <c r="F832" s="272"/>
      <c r="G832" s="273">
        <v>416999</v>
      </c>
      <c r="H832" s="276">
        <v>0</v>
      </c>
      <c r="I832" s="277">
        <v>0</v>
      </c>
      <c r="J832" s="268">
        <v>0</v>
      </c>
    </row>
    <row r="833" spans="1:10" s="289" customFormat="1" ht="24" x14ac:dyDescent="0.55000000000000004">
      <c r="A833" s="270"/>
      <c r="B833" s="271"/>
      <c r="C833" s="271"/>
      <c r="D833" s="271"/>
      <c r="E833" s="271"/>
      <c r="F833" s="272"/>
      <c r="G833" s="273"/>
      <c r="H833" s="299">
        <f>SUM(H831:H832)</f>
        <v>2000</v>
      </c>
      <c r="I833" s="300">
        <f>SUM(I831:I832)</f>
        <v>3665</v>
      </c>
      <c r="J833" s="299">
        <f>SUM(J831:J832)</f>
        <v>0</v>
      </c>
    </row>
    <row r="834" spans="1:10" s="289" customFormat="1" ht="24" x14ac:dyDescent="0.55000000000000004">
      <c r="A834" s="304" t="s">
        <v>386</v>
      </c>
      <c r="B834" s="271"/>
      <c r="C834" s="271"/>
      <c r="D834" s="271"/>
      <c r="E834" s="271"/>
      <c r="F834" s="272"/>
      <c r="G834" s="273"/>
      <c r="H834" s="268"/>
      <c r="I834" s="269"/>
      <c r="J834" s="268"/>
    </row>
    <row r="835" spans="1:10" s="259" customFormat="1" ht="24" x14ac:dyDescent="0.55000000000000004">
      <c r="A835" s="270" t="s">
        <v>339</v>
      </c>
      <c r="B835" s="271" t="s">
        <v>387</v>
      </c>
      <c r="C835" s="271"/>
      <c r="D835" s="271"/>
      <c r="E835" s="271"/>
      <c r="F835" s="272"/>
      <c r="G835" s="273">
        <v>421002</v>
      </c>
      <c r="H835" s="274">
        <v>7000000</v>
      </c>
      <c r="I835" s="274">
        <f>576013.89+578421.62+586350.36+110502.39+605668.57+625606.99</f>
        <v>3082563.8200000003</v>
      </c>
      <c r="J835" s="274">
        <v>625606.99</v>
      </c>
    </row>
    <row r="836" spans="1:10" s="259" customFormat="1" ht="24" x14ac:dyDescent="0.55000000000000004">
      <c r="A836" s="270" t="s">
        <v>341</v>
      </c>
      <c r="B836" s="271" t="s">
        <v>388</v>
      </c>
      <c r="C836" s="271"/>
      <c r="D836" s="271"/>
      <c r="E836" s="271"/>
      <c r="F836" s="272"/>
      <c r="G836" s="273">
        <v>421004</v>
      </c>
      <c r="H836" s="274">
        <v>1500000</v>
      </c>
      <c r="I836" s="274">
        <f>113953.78+131505.43+128502.61+128239.4+124886.95</f>
        <v>627088.16999999993</v>
      </c>
      <c r="J836" s="274">
        <v>124886.95</v>
      </c>
    </row>
    <row r="837" spans="1:10" s="259" customFormat="1" ht="24" x14ac:dyDescent="0.55000000000000004">
      <c r="A837" s="270" t="s">
        <v>343</v>
      </c>
      <c r="B837" s="271" t="s">
        <v>389</v>
      </c>
      <c r="C837" s="271"/>
      <c r="D837" s="271"/>
      <c r="E837" s="271"/>
      <c r="F837" s="272"/>
      <c r="G837" s="273">
        <v>421005</v>
      </c>
      <c r="H837" s="274">
        <v>100000</v>
      </c>
      <c r="I837" s="274">
        <f>2747.3+3451.03+11616.96+6332.98</f>
        <v>24148.27</v>
      </c>
      <c r="J837" s="274">
        <v>6332.98</v>
      </c>
    </row>
    <row r="838" spans="1:10" s="259" customFormat="1" ht="24" x14ac:dyDescent="0.55000000000000004">
      <c r="A838" s="270" t="s">
        <v>345</v>
      </c>
      <c r="B838" s="271" t="s">
        <v>390</v>
      </c>
      <c r="C838" s="271"/>
      <c r="D838" s="271"/>
      <c r="E838" s="271"/>
      <c r="F838" s="272"/>
      <c r="G838" s="273">
        <v>421006</v>
      </c>
      <c r="H838" s="274">
        <v>700000</v>
      </c>
      <c r="I838" s="274">
        <f>47274.97+53800.47+56240.22+68576.03+61149.91</f>
        <v>287041.59999999998</v>
      </c>
      <c r="J838" s="274">
        <v>61149.91</v>
      </c>
    </row>
    <row r="839" spans="1:10" s="259" customFormat="1" ht="24" x14ac:dyDescent="0.55000000000000004">
      <c r="A839" s="270" t="s">
        <v>347</v>
      </c>
      <c r="B839" s="271" t="s">
        <v>391</v>
      </c>
      <c r="C839" s="271"/>
      <c r="D839" s="271"/>
      <c r="E839" s="271"/>
      <c r="F839" s="272"/>
      <c r="G839" s="273">
        <v>421007</v>
      </c>
      <c r="H839" s="274">
        <v>1000000</v>
      </c>
      <c r="I839" s="275">
        <f>102069.72+113369.21+155.2+106077+125885.21+147366.97-155.2-252.2-213.4-213.4</f>
        <v>594089.1100000001</v>
      </c>
      <c r="J839" s="274">
        <f>147366.97-213.4</f>
        <v>147153.57</v>
      </c>
    </row>
    <row r="840" spans="1:10" s="259" customFormat="1" ht="24" x14ac:dyDescent="0.55000000000000004">
      <c r="A840" s="270" t="s">
        <v>355</v>
      </c>
      <c r="B840" s="271" t="s">
        <v>468</v>
      </c>
      <c r="C840" s="271"/>
      <c r="D840" s="271"/>
      <c r="E840" s="271"/>
      <c r="F840" s="272"/>
      <c r="G840" s="273">
        <v>421011</v>
      </c>
      <c r="H840" s="274">
        <v>10000</v>
      </c>
      <c r="I840" s="275"/>
      <c r="J840" s="274"/>
    </row>
    <row r="841" spans="1:10" s="259" customFormat="1" ht="24" x14ac:dyDescent="0.55000000000000004">
      <c r="A841" s="290" t="s">
        <v>357</v>
      </c>
      <c r="B841" s="259" t="s">
        <v>392</v>
      </c>
      <c r="G841" s="273">
        <v>421012</v>
      </c>
      <c r="H841" s="274">
        <v>30000</v>
      </c>
      <c r="I841" s="275">
        <v>4875.42</v>
      </c>
      <c r="J841" s="274">
        <v>4875.42</v>
      </c>
    </row>
    <row r="842" spans="1:10" s="259" customFormat="1" ht="24" x14ac:dyDescent="0.55000000000000004">
      <c r="A842" s="290" t="s">
        <v>359</v>
      </c>
      <c r="B842" s="271" t="s">
        <v>393</v>
      </c>
      <c r="C842" s="271"/>
      <c r="D842" s="271"/>
      <c r="E842" s="271"/>
      <c r="F842" s="272"/>
      <c r="G842" s="273">
        <v>421013</v>
      </c>
      <c r="H842" s="274">
        <v>40000</v>
      </c>
      <c r="I842" s="275">
        <f>7014.11+6835.44</f>
        <v>13849.55</v>
      </c>
      <c r="J842" s="274"/>
    </row>
    <row r="843" spans="1:10" s="259" customFormat="1" ht="24" x14ac:dyDescent="0.55000000000000004">
      <c r="A843" s="270" t="s">
        <v>361</v>
      </c>
      <c r="B843" s="271" t="s">
        <v>394</v>
      </c>
      <c r="C843" s="271"/>
      <c r="D843" s="271"/>
      <c r="E843" s="271"/>
      <c r="F843" s="272"/>
      <c r="G843" s="273">
        <v>421015</v>
      </c>
      <c r="H843" s="274">
        <v>1000000</v>
      </c>
      <c r="I843" s="275">
        <f>110381.75+16924+53331+72684+14094</f>
        <v>267414.75</v>
      </c>
      <c r="J843" s="274">
        <v>14094</v>
      </c>
    </row>
    <row r="844" spans="1:10" s="259" customFormat="1" ht="24" x14ac:dyDescent="0.55000000000000004">
      <c r="A844" s="270" t="s">
        <v>363</v>
      </c>
      <c r="B844" s="271" t="s">
        <v>395</v>
      </c>
      <c r="C844" s="271"/>
      <c r="D844" s="271"/>
      <c r="E844" s="271"/>
      <c r="F844" s="272"/>
      <c r="G844" s="273">
        <v>421999</v>
      </c>
      <c r="H844" s="274">
        <v>10000</v>
      </c>
      <c r="I844" s="275"/>
      <c r="J844" s="274"/>
    </row>
    <row r="845" spans="1:10" s="259" customFormat="1" ht="24" x14ac:dyDescent="0.55000000000000004">
      <c r="A845" s="270" t="s">
        <v>365</v>
      </c>
      <c r="B845" s="271" t="s">
        <v>505</v>
      </c>
      <c r="C845" s="271"/>
      <c r="D845" s="271"/>
      <c r="E845" s="271"/>
      <c r="F845" s="272"/>
      <c r="G845" s="273"/>
      <c r="H845" s="268">
        <v>500000</v>
      </c>
      <c r="I845" s="269">
        <f>767.81+34450.16</f>
        <v>35217.97</v>
      </c>
      <c r="J845" s="268">
        <v>34450.160000000003</v>
      </c>
    </row>
    <row r="846" spans="1:10" s="289" customFormat="1" ht="24" x14ac:dyDescent="0.55000000000000004">
      <c r="A846" s="297"/>
      <c r="B846" s="271"/>
      <c r="C846" s="271"/>
      <c r="D846" s="271"/>
      <c r="E846" s="861" t="s">
        <v>151</v>
      </c>
      <c r="F846" s="862"/>
      <c r="G846" s="298"/>
      <c r="H846" s="299">
        <f>SUM(H835:H845)</f>
        <v>11890000</v>
      </c>
      <c r="I846" s="300">
        <f>SUM(I835:I845)</f>
        <v>4936288.66</v>
      </c>
      <c r="J846" s="299">
        <f>SUM(J835:J845)</f>
        <v>1018549.98</v>
      </c>
    </row>
    <row r="847" spans="1:10" s="289" customFormat="1" ht="24" x14ac:dyDescent="0.55000000000000004">
      <c r="A847" s="305"/>
      <c r="B847" s="306"/>
      <c r="C847" s="306"/>
      <c r="D847" s="306"/>
      <c r="E847" s="847"/>
      <c r="F847" s="848"/>
      <c r="G847" s="307"/>
      <c r="H847" s="299"/>
      <c r="I847" s="299"/>
      <c r="J847" s="299"/>
    </row>
    <row r="849" spans="1:11" s="289" customFormat="1" ht="24" x14ac:dyDescent="0.55000000000000004">
      <c r="A849" s="849"/>
      <c r="B849" s="849"/>
      <c r="C849" s="849"/>
      <c r="D849" s="849"/>
      <c r="G849" s="265"/>
      <c r="H849" s="258"/>
      <c r="I849" s="258"/>
      <c r="J849" s="258"/>
    </row>
    <row r="850" spans="1:11" s="289" customFormat="1" ht="24" x14ac:dyDescent="0.55000000000000004">
      <c r="A850" s="460"/>
      <c r="B850" s="460"/>
      <c r="C850" s="460"/>
      <c r="D850" s="460"/>
      <c r="H850" s="258"/>
      <c r="I850" s="258"/>
      <c r="J850" s="258"/>
    </row>
    <row r="851" spans="1:11" s="289" customFormat="1" ht="24" x14ac:dyDescent="0.55000000000000004">
      <c r="A851" s="460"/>
      <c r="B851" s="460"/>
      <c r="C851" s="460"/>
      <c r="D851" s="460"/>
      <c r="H851" s="258"/>
      <c r="I851" s="258"/>
      <c r="J851" s="258"/>
    </row>
    <row r="852" spans="1:11" s="289" customFormat="1" ht="24" x14ac:dyDescent="0.55000000000000004">
      <c r="A852" s="592"/>
      <c r="B852" s="592"/>
      <c r="C852" s="592"/>
      <c r="D852" s="592"/>
      <c r="H852" s="258"/>
      <c r="I852" s="258"/>
      <c r="J852" s="258"/>
    </row>
    <row r="853" spans="1:11" s="289" customFormat="1" ht="24" x14ac:dyDescent="0.55000000000000004">
      <c r="A853" s="592"/>
      <c r="B853" s="592"/>
      <c r="C853" s="592"/>
      <c r="D853" s="592"/>
      <c r="H853" s="258"/>
      <c r="I853" s="258"/>
      <c r="J853" s="258"/>
    </row>
    <row r="854" spans="1:11" s="289" customFormat="1" ht="24" x14ac:dyDescent="0.55000000000000004">
      <c r="A854" s="460"/>
      <c r="B854" s="460"/>
      <c r="C854" s="460"/>
      <c r="D854" s="460"/>
      <c r="F854" s="460" t="s">
        <v>491</v>
      </c>
      <c r="H854" s="258"/>
      <c r="I854" s="258"/>
      <c r="J854" s="258"/>
    </row>
    <row r="855" spans="1:11" s="289" customFormat="1" ht="24" x14ac:dyDescent="0.55000000000000004">
      <c r="A855" s="460"/>
      <c r="B855" s="460"/>
      <c r="C855" s="460"/>
      <c r="D855" s="460"/>
      <c r="F855" s="460"/>
      <c r="H855" s="258"/>
      <c r="I855" s="258"/>
      <c r="J855" s="258"/>
    </row>
    <row r="856" spans="1:11" s="289" customFormat="1" ht="24" x14ac:dyDescent="0.55000000000000004">
      <c r="A856" s="850"/>
      <c r="B856" s="851"/>
      <c r="C856" s="851"/>
      <c r="D856" s="851"/>
      <c r="E856" s="851"/>
      <c r="F856" s="852"/>
      <c r="G856" s="411" t="s">
        <v>78</v>
      </c>
      <c r="H856" s="411" t="s">
        <v>6</v>
      </c>
      <c r="I856" s="261" t="s">
        <v>335</v>
      </c>
      <c r="J856" s="412" t="s">
        <v>336</v>
      </c>
    </row>
    <row r="857" spans="1:11" s="289" customFormat="1" ht="24" x14ac:dyDescent="0.55000000000000004">
      <c r="A857" s="301" t="s">
        <v>396</v>
      </c>
      <c r="B857" s="302"/>
      <c r="C857" s="271"/>
      <c r="D857" s="271"/>
      <c r="E857" s="271"/>
      <c r="F857" s="272"/>
      <c r="G857" s="298"/>
      <c r="H857" s="268"/>
      <c r="I857" s="269"/>
      <c r="J857" s="268"/>
    </row>
    <row r="858" spans="1:11" s="289" customFormat="1" ht="24" x14ac:dyDescent="0.55000000000000004">
      <c r="A858" s="270" t="s">
        <v>339</v>
      </c>
      <c r="B858" s="271" t="s">
        <v>469</v>
      </c>
      <c r="C858" s="271"/>
      <c r="D858" s="271"/>
      <c r="E858" s="271"/>
      <c r="F858" s="272"/>
      <c r="G858" s="273">
        <v>431002</v>
      </c>
      <c r="H858" s="274">
        <v>4750000</v>
      </c>
      <c r="I858" s="275">
        <f>976141+976141</f>
        <v>1952282</v>
      </c>
      <c r="J858" s="274"/>
    </row>
    <row r="859" spans="1:11" s="289" customFormat="1" ht="24" x14ac:dyDescent="0.55000000000000004">
      <c r="A859" s="397"/>
      <c r="B859" s="271" t="s">
        <v>470</v>
      </c>
      <c r="C859" s="271"/>
      <c r="D859" s="271"/>
      <c r="E859" s="392"/>
      <c r="F859" s="398"/>
      <c r="G859" s="298"/>
      <c r="H859" s="402"/>
      <c r="I859" s="402"/>
      <c r="J859" s="402"/>
    </row>
    <row r="860" spans="1:11" s="289" customFormat="1" ht="24" x14ac:dyDescent="0.55000000000000004">
      <c r="A860" s="397"/>
      <c r="B860" s="271" t="s">
        <v>483</v>
      </c>
      <c r="C860" s="271"/>
      <c r="D860" s="392"/>
      <c r="E860" s="392"/>
      <c r="F860" s="398"/>
      <c r="G860" s="298"/>
      <c r="H860" s="402"/>
      <c r="I860" s="407">
        <f>69514+158955</f>
        <v>228469</v>
      </c>
      <c r="J860" s="407"/>
    </row>
    <row r="861" spans="1:11" s="289" customFormat="1" ht="24" x14ac:dyDescent="0.55000000000000004">
      <c r="A861" s="397"/>
      <c r="B861" s="271" t="s">
        <v>481</v>
      </c>
      <c r="C861" s="271"/>
      <c r="D861" s="392"/>
      <c r="E861" s="392"/>
      <c r="F861" s="398"/>
      <c r="G861" s="298"/>
      <c r="H861" s="402"/>
      <c r="I861" s="407">
        <f>244000+244000</f>
        <v>488000</v>
      </c>
      <c r="J861" s="407"/>
    </row>
    <row r="862" spans="1:11" s="289" customFormat="1" ht="24" x14ac:dyDescent="0.55000000000000004">
      <c r="A862" s="397"/>
      <c r="B862" s="271" t="s">
        <v>487</v>
      </c>
      <c r="C862" s="271"/>
      <c r="D862" s="271"/>
      <c r="E862" s="271"/>
      <c r="F862" s="272"/>
      <c r="G862" s="298"/>
      <c r="H862" s="274"/>
      <c r="I862" s="275">
        <v>8000</v>
      </c>
      <c r="J862" s="274"/>
    </row>
    <row r="863" spans="1:11" s="289" customFormat="1" ht="24" x14ac:dyDescent="0.55000000000000004">
      <c r="A863" s="397"/>
      <c r="B863" s="291" t="s">
        <v>486</v>
      </c>
      <c r="C863" s="291"/>
      <c r="D863" s="291"/>
      <c r="E863" s="265"/>
      <c r="F863" s="266"/>
      <c r="G863" s="402"/>
      <c r="H863" s="274"/>
      <c r="I863" s="275">
        <v>52500</v>
      </c>
      <c r="J863" s="274"/>
    </row>
    <row r="864" spans="1:11" s="289" customFormat="1" ht="24" x14ac:dyDescent="0.55000000000000004">
      <c r="A864" s="397"/>
      <c r="B864" s="271" t="s">
        <v>482</v>
      </c>
      <c r="C864" s="271"/>
      <c r="D864" s="271"/>
      <c r="E864" s="392"/>
      <c r="F864" s="398"/>
      <c r="G864" s="402"/>
      <c r="H864" s="274"/>
      <c r="I864" s="275">
        <f>7500+7500</f>
        <v>15000</v>
      </c>
      <c r="J864" s="274"/>
      <c r="K864" s="289">
        <v>3</v>
      </c>
    </row>
    <row r="865" spans="1:10" s="289" customFormat="1" ht="24" x14ac:dyDescent="0.55000000000000004">
      <c r="A865" s="397"/>
      <c r="B865" s="392"/>
      <c r="C865" s="392"/>
      <c r="D865" s="392"/>
      <c r="E865" s="392"/>
      <c r="F865" s="398"/>
      <c r="G865" s="402"/>
      <c r="H865" s="274"/>
      <c r="I865" s="275"/>
      <c r="J865" s="274"/>
    </row>
    <row r="866" spans="1:10" s="289" customFormat="1" ht="24" x14ac:dyDescent="0.55000000000000004">
      <c r="A866" s="397"/>
      <c r="B866" s="392"/>
      <c r="C866" s="392"/>
      <c r="D866" s="392"/>
      <c r="E866" s="392"/>
      <c r="F866" s="398"/>
      <c r="G866" s="402"/>
      <c r="H866" s="303"/>
      <c r="I866" s="399"/>
      <c r="J866" s="303"/>
    </row>
    <row r="867" spans="1:10" s="289" customFormat="1" ht="24" x14ac:dyDescent="0.55000000000000004">
      <c r="A867" s="305"/>
      <c r="B867" s="306"/>
      <c r="C867" s="306"/>
      <c r="D867" s="306"/>
      <c r="E867" s="847" t="s">
        <v>151</v>
      </c>
      <c r="F867" s="848"/>
      <c r="G867" s="307"/>
      <c r="H867" s="299">
        <f>SUM(H858)</f>
        <v>4750000</v>
      </c>
      <c r="I867" s="299">
        <f>SUM(I858:I866)</f>
        <v>2744251</v>
      </c>
      <c r="J867" s="299">
        <f>SUM(J858:J866)</f>
        <v>0</v>
      </c>
    </row>
    <row r="868" spans="1:10" s="289" customFormat="1" ht="28.5" customHeight="1" thickBot="1" x14ac:dyDescent="0.6">
      <c r="A868" s="464"/>
      <c r="B868" s="461"/>
      <c r="C868" s="461"/>
      <c r="D868" s="461"/>
      <c r="E868" s="462" t="s">
        <v>612</v>
      </c>
      <c r="F868" s="463"/>
      <c r="G868" s="463"/>
      <c r="H868" s="309">
        <f>+H786+H810+H821+H825+H829+H833+H846+H867</f>
        <v>22000000</v>
      </c>
      <c r="I868" s="309">
        <f>+I786+I810+I821+I825+I829+I833+I846+I867</f>
        <v>13251389.300000001</v>
      </c>
      <c r="J868" s="309">
        <f>+J786+J810+J821+J825+J829+J833+J846+J867</f>
        <v>5317985.2300000004</v>
      </c>
    </row>
    <row r="869" spans="1:10" ht="24.75" thickTop="1" x14ac:dyDescent="0.55000000000000004">
      <c r="A869" s="111"/>
      <c r="G869" s="402"/>
      <c r="H869" s="274"/>
      <c r="I869" s="275"/>
      <c r="J869" s="274"/>
    </row>
    <row r="870" spans="1:10" ht="24" x14ac:dyDescent="0.55000000000000004">
      <c r="A870" s="405" t="s">
        <v>477</v>
      </c>
      <c r="B870" s="406"/>
      <c r="C870" s="291"/>
      <c r="D870" s="291"/>
      <c r="E870" s="291"/>
      <c r="F870" s="292"/>
      <c r="G870" s="402"/>
      <c r="H870" s="268"/>
      <c r="I870" s="269"/>
      <c r="J870" s="268"/>
    </row>
    <row r="871" spans="1:10" ht="24" x14ac:dyDescent="0.55000000000000004">
      <c r="A871" s="270" t="s">
        <v>339</v>
      </c>
      <c r="B871" s="271" t="s">
        <v>476</v>
      </c>
      <c r="C871" s="271"/>
      <c r="D871" s="271"/>
      <c r="E871" s="271"/>
      <c r="F871" s="272"/>
      <c r="G871" s="273"/>
      <c r="H871" s="274"/>
      <c r="I871" s="275"/>
      <c r="J871" s="274"/>
    </row>
    <row r="872" spans="1:10" ht="24" x14ac:dyDescent="0.55000000000000004">
      <c r="A872" s="270"/>
      <c r="B872" s="271" t="s">
        <v>484</v>
      </c>
      <c r="C872" s="271"/>
      <c r="D872" s="271"/>
      <c r="E872" s="271"/>
      <c r="F872" s="272"/>
      <c r="G872" s="273"/>
      <c r="H872" s="274"/>
      <c r="I872" s="275">
        <f>1011900+674600</f>
        <v>1686500</v>
      </c>
      <c r="J872" s="274"/>
    </row>
    <row r="873" spans="1:10" ht="24" x14ac:dyDescent="0.55000000000000004">
      <c r="A873" s="270"/>
      <c r="B873" s="271" t="s">
        <v>485</v>
      </c>
      <c r="C873" s="271"/>
      <c r="D873" s="271"/>
      <c r="E873" s="271"/>
      <c r="F873" s="272"/>
      <c r="G873" s="273"/>
      <c r="H873" s="274"/>
      <c r="I873" s="531">
        <f>136800+136800</f>
        <v>273600</v>
      </c>
      <c r="J873" s="274"/>
    </row>
    <row r="874" spans="1:10" ht="24" x14ac:dyDescent="0.55000000000000004">
      <c r="A874" s="270"/>
      <c r="B874" s="302" t="s">
        <v>488</v>
      </c>
      <c r="C874" s="302"/>
      <c r="D874" s="302"/>
      <c r="E874" s="271"/>
      <c r="F874" s="272"/>
      <c r="G874" s="273"/>
      <c r="H874" s="274"/>
      <c r="I874" s="275"/>
      <c r="J874" s="274"/>
    </row>
    <row r="875" spans="1:10" ht="24" x14ac:dyDescent="0.55000000000000004">
      <c r="A875" s="270"/>
      <c r="B875" s="271" t="s">
        <v>478</v>
      </c>
      <c r="C875" s="271"/>
      <c r="D875" s="271"/>
      <c r="E875" s="271"/>
      <c r="F875" s="272"/>
      <c r="G875" s="273"/>
      <c r="H875" s="274"/>
      <c r="I875" s="275">
        <v>50400</v>
      </c>
      <c r="J875" s="274"/>
    </row>
    <row r="876" spans="1:10" ht="24" x14ac:dyDescent="0.55000000000000004">
      <c r="A876" s="270"/>
      <c r="B876" s="271" t="s">
        <v>479</v>
      </c>
      <c r="C876" s="271"/>
      <c r="D876" s="271"/>
      <c r="E876" s="271"/>
      <c r="F876" s="272"/>
      <c r="G876" s="273"/>
      <c r="H876" s="274"/>
      <c r="I876" s="275">
        <f>118290+78860+17955</f>
        <v>215105</v>
      </c>
      <c r="J876" s="274"/>
    </row>
    <row r="877" spans="1:10" ht="24" x14ac:dyDescent="0.55000000000000004">
      <c r="A877" s="270"/>
      <c r="B877" s="271" t="s">
        <v>522</v>
      </c>
      <c r="C877" s="271"/>
      <c r="D877" s="271"/>
      <c r="E877" s="271"/>
      <c r="F877" s="272"/>
      <c r="G877" s="273"/>
      <c r="H877" s="274"/>
      <c r="I877" s="275">
        <f>21800+68400+45600</f>
        <v>135800</v>
      </c>
      <c r="J877" s="274"/>
    </row>
    <row r="878" spans="1:10" ht="24" x14ac:dyDescent="0.55000000000000004">
      <c r="A878" s="270"/>
      <c r="B878" s="271" t="s">
        <v>521</v>
      </c>
      <c r="C878" s="271"/>
      <c r="D878" s="271"/>
      <c r="E878" s="271"/>
      <c r="F878" s="272"/>
      <c r="G878" s="273"/>
      <c r="H878" s="274"/>
      <c r="I878" s="275">
        <f>1090+3420+2280</f>
        <v>6790</v>
      </c>
      <c r="J878" s="274"/>
    </row>
    <row r="879" spans="1:10" ht="24" x14ac:dyDescent="0.55000000000000004">
      <c r="A879" s="270"/>
      <c r="B879" s="271" t="s">
        <v>489</v>
      </c>
      <c r="C879" s="271"/>
      <c r="D879" s="271"/>
      <c r="E879" s="271"/>
      <c r="F879" s="272"/>
      <c r="G879" s="273"/>
      <c r="H879" s="274"/>
      <c r="I879" s="275"/>
      <c r="J879" s="274"/>
    </row>
    <row r="880" spans="1:10" ht="24" x14ac:dyDescent="0.55000000000000004">
      <c r="A880" s="270"/>
      <c r="B880" s="271" t="s">
        <v>490</v>
      </c>
      <c r="C880" s="271"/>
      <c r="D880" s="271"/>
      <c r="E880" s="271"/>
      <c r="F880" s="272"/>
      <c r="G880" s="273"/>
      <c r="H880" s="274"/>
      <c r="I880" s="275"/>
      <c r="J880" s="274"/>
    </row>
    <row r="881" spans="1:10" ht="24" x14ac:dyDescent="0.55000000000000004">
      <c r="A881" s="270"/>
      <c r="B881" s="271"/>
      <c r="C881" s="271"/>
      <c r="D881" s="271"/>
      <c r="E881" s="271"/>
      <c r="F881" s="272"/>
      <c r="G881" s="273"/>
      <c r="H881" s="274"/>
      <c r="I881" s="275"/>
      <c r="J881" s="274"/>
    </row>
    <row r="882" spans="1:10" ht="24" x14ac:dyDescent="0.55000000000000004">
      <c r="A882" s="270"/>
      <c r="B882" s="271"/>
      <c r="C882" s="271"/>
      <c r="D882" s="271"/>
      <c r="E882" s="271"/>
      <c r="F882" s="272"/>
      <c r="G882" s="273"/>
      <c r="H882" s="274"/>
      <c r="I882" s="275"/>
      <c r="J882" s="274"/>
    </row>
    <row r="883" spans="1:10" ht="24" x14ac:dyDescent="0.55000000000000004">
      <c r="A883" s="305"/>
      <c r="B883" s="306"/>
      <c r="C883" s="306"/>
      <c r="D883" s="306"/>
      <c r="E883" s="847" t="s">
        <v>151</v>
      </c>
      <c r="F883" s="848"/>
      <c r="G883" s="307"/>
      <c r="H883" s="299">
        <f>SUM(H872:H882)</f>
        <v>0</v>
      </c>
      <c r="I883" s="299">
        <f>SUM(I872:I882)</f>
        <v>2368195</v>
      </c>
      <c r="J883" s="299">
        <f>SUM(J870:J882)</f>
        <v>0</v>
      </c>
    </row>
    <row r="884" spans="1:10" ht="24.75" thickBot="1" x14ac:dyDescent="0.6">
      <c r="A884" s="428"/>
      <c r="B884" s="265"/>
      <c r="C884" s="265"/>
      <c r="D884" s="265"/>
      <c r="E884" s="420" t="s">
        <v>506</v>
      </c>
      <c r="G884" s="265"/>
      <c r="H884" s="425">
        <f>SUM(H883)</f>
        <v>0</v>
      </c>
      <c r="I884" s="425">
        <f>SUM(I883)</f>
        <v>2368195</v>
      </c>
      <c r="J884" s="425">
        <f>SUM(J883)</f>
        <v>0</v>
      </c>
    </row>
    <row r="885" spans="1:10" ht="24" x14ac:dyDescent="0.55000000000000004">
      <c r="A885" s="421"/>
      <c r="B885" s="422"/>
      <c r="C885" s="422"/>
      <c r="D885" s="422"/>
      <c r="E885" s="423" t="s">
        <v>613</v>
      </c>
      <c r="F885" s="161"/>
      <c r="G885" s="424"/>
      <c r="H885" s="426"/>
      <c r="I885" s="426">
        <f>+I884+I868</f>
        <v>15619584.300000001</v>
      </c>
      <c r="J885" s="427">
        <f>+J884+J868</f>
        <v>5317985.2300000004</v>
      </c>
    </row>
    <row r="886" spans="1:10" s="289" customFormat="1" ht="24" x14ac:dyDescent="0.55000000000000004"/>
    <row r="887" spans="1:10" s="312" customFormat="1" ht="24" x14ac:dyDescent="0.55000000000000004"/>
    <row r="888" spans="1:10" s="312" customFormat="1" ht="24" x14ac:dyDescent="0.55000000000000004">
      <c r="A888" s="400" t="s">
        <v>471</v>
      </c>
      <c r="B888" s="400"/>
      <c r="C888" s="400"/>
      <c r="D888" s="400"/>
      <c r="E888" s="400"/>
      <c r="F888" s="400" t="s">
        <v>509</v>
      </c>
      <c r="G888" s="401"/>
      <c r="H888" s="401"/>
      <c r="I888" s="258" t="s">
        <v>474</v>
      </c>
      <c r="J888" s="258"/>
    </row>
    <row r="889" spans="1:10" s="312" customFormat="1" ht="24" x14ac:dyDescent="0.55000000000000004">
      <c r="A889" s="400" t="s">
        <v>472</v>
      </c>
      <c r="B889" s="400"/>
      <c r="C889" s="400"/>
      <c r="D889" s="400"/>
      <c r="E889" s="400"/>
      <c r="F889" s="400" t="s">
        <v>510</v>
      </c>
      <c r="G889" s="401"/>
      <c r="H889" s="401"/>
      <c r="I889" s="258" t="s">
        <v>473</v>
      </c>
      <c r="J889" s="258"/>
    </row>
    <row r="890" spans="1:10" s="312" customFormat="1" ht="24" x14ac:dyDescent="0.55000000000000004">
      <c r="F890" s="400" t="s">
        <v>475</v>
      </c>
      <c r="G890" s="401"/>
      <c r="H890" s="401"/>
      <c r="I890" s="313"/>
      <c r="J890" s="313"/>
    </row>
    <row r="891" spans="1:10" s="312" customFormat="1" ht="24" x14ac:dyDescent="0.55000000000000004">
      <c r="F891" s="400"/>
      <c r="G891" s="401"/>
      <c r="H891" s="401"/>
      <c r="I891" s="313"/>
      <c r="J891" s="313"/>
    </row>
    <row r="892" spans="1:10" s="259" customFormat="1" ht="24" x14ac:dyDescent="0.55000000000000004">
      <c r="A892" s="853" t="s">
        <v>76</v>
      </c>
      <c r="B892" s="853"/>
      <c r="C892" s="853"/>
      <c r="D892" s="853"/>
      <c r="E892" s="853"/>
      <c r="F892" s="853"/>
      <c r="G892" s="853"/>
      <c r="H892" s="853"/>
      <c r="I892" s="853"/>
      <c r="J892" s="853"/>
    </row>
    <row r="893" spans="1:10" s="259" customFormat="1" ht="24" x14ac:dyDescent="0.55000000000000004">
      <c r="A893" s="853" t="s">
        <v>334</v>
      </c>
      <c r="B893" s="853"/>
      <c r="C893" s="853"/>
      <c r="D893" s="853"/>
      <c r="E893" s="853"/>
      <c r="F893" s="853"/>
      <c r="G893" s="853"/>
      <c r="H893" s="853"/>
      <c r="I893" s="853"/>
      <c r="J893" s="853"/>
    </row>
    <row r="894" spans="1:10" s="259" customFormat="1" ht="24" x14ac:dyDescent="0.55000000000000004">
      <c r="A894" s="854" t="s">
        <v>616</v>
      </c>
      <c r="B894" s="854"/>
      <c r="C894" s="854"/>
      <c r="D894" s="854"/>
      <c r="E894" s="854"/>
      <c r="F894" s="854"/>
      <c r="G894" s="854"/>
      <c r="H894" s="854"/>
      <c r="I894" s="854"/>
      <c r="J894" s="854"/>
    </row>
    <row r="895" spans="1:10" s="259" customFormat="1" ht="24" x14ac:dyDescent="0.55000000000000004">
      <c r="A895" s="855"/>
      <c r="B895" s="856"/>
      <c r="C895" s="856"/>
      <c r="D895" s="856"/>
      <c r="E895" s="856"/>
      <c r="F895" s="857"/>
      <c r="G895" s="260" t="s">
        <v>78</v>
      </c>
      <c r="H895" s="260" t="s">
        <v>6</v>
      </c>
      <c r="I895" s="261" t="s">
        <v>335</v>
      </c>
      <c r="J895" s="262" t="s">
        <v>336</v>
      </c>
    </row>
    <row r="896" spans="1:10" s="259" customFormat="1" ht="24" x14ac:dyDescent="0.55000000000000004">
      <c r="A896" s="263" t="s">
        <v>337</v>
      </c>
      <c r="B896" s="264"/>
      <c r="C896" s="265"/>
      <c r="D896" s="265"/>
      <c r="E896" s="265"/>
      <c r="F896" s="266"/>
      <c r="G896" s="267"/>
      <c r="H896" s="268"/>
      <c r="I896" s="269"/>
      <c r="J896" s="268"/>
    </row>
    <row r="897" spans="1:10" s="259" customFormat="1" ht="24" x14ac:dyDescent="0.55000000000000004">
      <c r="A897" s="263" t="s">
        <v>338</v>
      </c>
      <c r="B897" s="264"/>
      <c r="C897" s="265"/>
      <c r="D897" s="265"/>
      <c r="E897" s="265"/>
      <c r="F897" s="266"/>
      <c r="G897" s="267"/>
      <c r="H897" s="268"/>
      <c r="I897" s="269"/>
      <c r="J897" s="268"/>
    </row>
    <row r="898" spans="1:10" s="259" customFormat="1" ht="24" x14ac:dyDescent="0.55000000000000004">
      <c r="A898" s="270" t="s">
        <v>339</v>
      </c>
      <c r="B898" s="271" t="s">
        <v>340</v>
      </c>
      <c r="C898" s="271"/>
      <c r="D898" s="271"/>
      <c r="E898" s="271"/>
      <c r="F898" s="272"/>
      <c r="G898" s="273">
        <v>411001</v>
      </c>
      <c r="H898" s="274">
        <v>3900000</v>
      </c>
      <c r="I898" s="275">
        <f>187018.1+4119328.13+9180</f>
        <v>4315526.2299999995</v>
      </c>
      <c r="J898" s="274">
        <v>9180</v>
      </c>
    </row>
    <row r="899" spans="1:10" s="259" customFormat="1" ht="24" x14ac:dyDescent="0.55000000000000004">
      <c r="A899" s="270" t="s">
        <v>341</v>
      </c>
      <c r="B899" s="271" t="s">
        <v>342</v>
      </c>
      <c r="C899" s="271"/>
      <c r="D899" s="271"/>
      <c r="E899" s="271"/>
      <c r="F899" s="272"/>
      <c r="G899" s="273">
        <v>411002</v>
      </c>
      <c r="H899" s="274">
        <v>50000</v>
      </c>
      <c r="I899" s="275">
        <f>222.3+653.6+2296.15+2449.1+20855.35+16614.55</f>
        <v>43091.05</v>
      </c>
      <c r="J899" s="274">
        <v>16614.55</v>
      </c>
    </row>
    <row r="900" spans="1:10" s="259" customFormat="1" ht="24" x14ac:dyDescent="0.55000000000000004">
      <c r="A900" s="270" t="s">
        <v>343</v>
      </c>
      <c r="B900" s="271" t="s">
        <v>344</v>
      </c>
      <c r="C900" s="271"/>
      <c r="D900" s="271"/>
      <c r="E900" s="271"/>
      <c r="F900" s="272"/>
      <c r="G900" s="273">
        <v>411003</v>
      </c>
      <c r="H900" s="274">
        <v>20000</v>
      </c>
      <c r="I900" s="275">
        <f>2919+15360+800</f>
        <v>19079</v>
      </c>
      <c r="J900" s="274">
        <v>800</v>
      </c>
    </row>
    <row r="901" spans="1:10" s="259" customFormat="1" ht="24" x14ac:dyDescent="0.55000000000000004">
      <c r="A901" s="270" t="s">
        <v>345</v>
      </c>
      <c r="B901" s="271" t="s">
        <v>346</v>
      </c>
      <c r="C901" s="271"/>
      <c r="D901" s="271"/>
      <c r="E901" s="271"/>
      <c r="F901" s="272"/>
      <c r="G901" s="273">
        <v>411004</v>
      </c>
      <c r="H901" s="274">
        <v>0</v>
      </c>
      <c r="I901" s="275">
        <v>0</v>
      </c>
      <c r="J901" s="274">
        <v>0</v>
      </c>
    </row>
    <row r="902" spans="1:10" s="259" customFormat="1" ht="24" x14ac:dyDescent="0.55000000000000004">
      <c r="A902" s="270" t="s">
        <v>347</v>
      </c>
      <c r="B902" s="271" t="s">
        <v>348</v>
      </c>
      <c r="C902" s="271"/>
      <c r="D902" s="271"/>
      <c r="E902" s="271"/>
      <c r="F902" s="272"/>
      <c r="G902" s="273">
        <v>411005</v>
      </c>
      <c r="H902" s="276">
        <v>100000</v>
      </c>
      <c r="I902" s="277">
        <f>24629.02+645270.57+50322.79</f>
        <v>720222.38</v>
      </c>
      <c r="J902" s="276">
        <v>50322.79</v>
      </c>
    </row>
    <row r="903" spans="1:10" s="259" customFormat="1" ht="24" x14ac:dyDescent="0.55000000000000004">
      <c r="A903" s="270"/>
      <c r="B903" s="271"/>
      <c r="C903" s="271"/>
      <c r="D903" s="271"/>
      <c r="E903" s="271"/>
      <c r="F903" s="272"/>
      <c r="G903" s="273"/>
      <c r="H903" s="299">
        <f>SUM(H898:H902)</f>
        <v>4070000</v>
      </c>
      <c r="I903" s="300">
        <f>SUM(I898:I902)</f>
        <v>5097918.6599999992</v>
      </c>
      <c r="J903" s="299">
        <f>SUM(J898:J902)</f>
        <v>76917.34</v>
      </c>
    </row>
    <row r="904" spans="1:10" s="259" customFormat="1" ht="24" x14ac:dyDescent="0.55000000000000004">
      <c r="A904" s="263" t="s">
        <v>349</v>
      </c>
      <c r="B904" s="278"/>
      <c r="C904" s="278"/>
      <c r="D904" s="278"/>
      <c r="E904" s="279"/>
      <c r="F904" s="280"/>
      <c r="G904" s="281"/>
      <c r="H904" s="282"/>
      <c r="I904" s="283"/>
      <c r="J904" s="268"/>
    </row>
    <row r="905" spans="1:10" s="259" customFormat="1" ht="24" x14ac:dyDescent="0.55000000000000004">
      <c r="A905" s="270" t="s">
        <v>339</v>
      </c>
      <c r="B905" s="271" t="s">
        <v>350</v>
      </c>
      <c r="C905" s="284"/>
      <c r="D905" s="284"/>
      <c r="E905" s="284"/>
      <c r="F905" s="285"/>
      <c r="G905" s="286">
        <v>412103</v>
      </c>
      <c r="H905" s="287">
        <v>500</v>
      </c>
      <c r="I905" s="288">
        <f>77.6+155.2+252.2+213.4+213.4</f>
        <v>911.8</v>
      </c>
      <c r="J905" s="274">
        <v>77.599999999999994</v>
      </c>
    </row>
    <row r="906" spans="1:10" s="259" customFormat="1" ht="24" x14ac:dyDescent="0.55000000000000004">
      <c r="A906" s="270" t="s">
        <v>341</v>
      </c>
      <c r="B906" s="271" t="s">
        <v>351</v>
      </c>
      <c r="C906" s="284"/>
      <c r="D906" s="284"/>
      <c r="E906" s="284"/>
      <c r="F906" s="285"/>
      <c r="G906" s="286">
        <v>412104</v>
      </c>
      <c r="H906" s="287">
        <v>500</v>
      </c>
      <c r="I906" s="288"/>
      <c r="J906" s="274"/>
    </row>
    <row r="907" spans="1:10" s="259" customFormat="1" ht="24" x14ac:dyDescent="0.55000000000000004">
      <c r="A907" s="270" t="s">
        <v>343</v>
      </c>
      <c r="B907" s="271" t="s">
        <v>352</v>
      </c>
      <c r="C907" s="284"/>
      <c r="D907" s="284"/>
      <c r="E907" s="284"/>
      <c r="F907" s="285"/>
      <c r="G907" s="286">
        <v>4120106</v>
      </c>
      <c r="H907" s="287">
        <v>20000</v>
      </c>
      <c r="I907" s="288">
        <f>292+24+164+2398+65+136</f>
        <v>3079</v>
      </c>
      <c r="J907" s="274">
        <v>136</v>
      </c>
    </row>
    <row r="908" spans="1:10" s="259" customFormat="1" ht="24" x14ac:dyDescent="0.55000000000000004">
      <c r="A908" s="270" t="s">
        <v>345</v>
      </c>
      <c r="B908" s="271" t="s">
        <v>456</v>
      </c>
      <c r="C908" s="284"/>
      <c r="D908" s="284"/>
      <c r="E908" s="284"/>
      <c r="F908" s="285"/>
      <c r="G908" s="286"/>
      <c r="H908" s="287">
        <v>500</v>
      </c>
      <c r="I908" s="288"/>
      <c r="J908" s="274"/>
    </row>
    <row r="909" spans="1:10" s="259" customFormat="1" ht="24" x14ac:dyDescent="0.55000000000000004">
      <c r="A909" s="270" t="s">
        <v>347</v>
      </c>
      <c r="B909" s="271" t="s">
        <v>457</v>
      </c>
      <c r="C909" s="284"/>
      <c r="D909" s="284"/>
      <c r="E909" s="284"/>
      <c r="F909" s="285"/>
      <c r="G909" s="286"/>
      <c r="H909" s="287">
        <v>500</v>
      </c>
      <c r="I909" s="288"/>
      <c r="J909" s="274"/>
    </row>
    <row r="910" spans="1:10" s="259" customFormat="1" ht="24" x14ac:dyDescent="0.55000000000000004">
      <c r="A910" s="270"/>
      <c r="B910" s="271" t="s">
        <v>458</v>
      </c>
      <c r="C910" s="284"/>
      <c r="D910" s="284"/>
      <c r="E910" s="284"/>
      <c r="F910" s="285"/>
      <c r="G910" s="286"/>
      <c r="H910" s="287"/>
      <c r="I910" s="288"/>
      <c r="J910" s="274"/>
    </row>
    <row r="911" spans="1:10" s="259" customFormat="1" ht="24" x14ac:dyDescent="0.55000000000000004">
      <c r="A911" s="270" t="s">
        <v>355</v>
      </c>
      <c r="B911" s="271" t="s">
        <v>459</v>
      </c>
      <c r="C911" s="284"/>
      <c r="D911" s="284"/>
      <c r="E911" s="284"/>
      <c r="F911" s="285"/>
      <c r="G911" s="286"/>
      <c r="H911" s="287">
        <v>500</v>
      </c>
      <c r="I911" s="288"/>
      <c r="J911" s="274"/>
    </row>
    <row r="912" spans="1:10" s="259" customFormat="1" ht="24" x14ac:dyDescent="0.55000000000000004">
      <c r="A912" s="270"/>
      <c r="B912" s="271" t="s">
        <v>460</v>
      </c>
      <c r="C912" s="284"/>
      <c r="D912" s="284"/>
      <c r="E912" s="284"/>
      <c r="F912" s="285"/>
      <c r="G912" s="286"/>
      <c r="H912" s="287"/>
      <c r="I912" s="288"/>
      <c r="J912" s="274"/>
    </row>
    <row r="913" spans="1:11" s="289" customFormat="1" ht="24" x14ac:dyDescent="0.55000000000000004">
      <c r="A913" s="290" t="s">
        <v>357</v>
      </c>
      <c r="B913" s="271" t="s">
        <v>353</v>
      </c>
      <c r="C913" s="271"/>
      <c r="D913" s="271"/>
      <c r="E913" s="271"/>
      <c r="F913" s="272"/>
      <c r="G913" s="286">
        <v>412128</v>
      </c>
      <c r="H913" s="274">
        <v>1000</v>
      </c>
      <c r="I913" s="275">
        <f>50+50+50+100+50+70</f>
        <v>370</v>
      </c>
      <c r="J913" s="274"/>
    </row>
    <row r="914" spans="1:11" s="289" customFormat="1" ht="24" x14ac:dyDescent="0.55000000000000004">
      <c r="A914" s="290" t="s">
        <v>359</v>
      </c>
      <c r="B914" s="271" t="s">
        <v>461</v>
      </c>
      <c r="C914" s="271"/>
      <c r="D914" s="271"/>
      <c r="E914" s="271"/>
      <c r="F914" s="272"/>
      <c r="G914" s="286"/>
      <c r="H914" s="274">
        <v>500</v>
      </c>
      <c r="I914" s="275"/>
      <c r="J914" s="274"/>
      <c r="K914" s="289">
        <v>1</v>
      </c>
    </row>
    <row r="915" spans="1:11" s="289" customFormat="1" ht="24" x14ac:dyDescent="0.55000000000000004">
      <c r="A915" s="270" t="s">
        <v>361</v>
      </c>
      <c r="B915" s="271" t="s">
        <v>354</v>
      </c>
      <c r="C915" s="271"/>
      <c r="D915" s="271"/>
      <c r="E915" s="271"/>
      <c r="F915" s="272"/>
      <c r="G915" s="286">
        <v>412199</v>
      </c>
      <c r="H915" s="274">
        <v>1500</v>
      </c>
      <c r="I915" s="275">
        <f>200+10+10+20</f>
        <v>240</v>
      </c>
      <c r="J915" s="274">
        <v>20</v>
      </c>
    </row>
    <row r="916" spans="1:11" s="289" customFormat="1" ht="24" x14ac:dyDescent="0.55000000000000004">
      <c r="A916" s="270" t="s">
        <v>363</v>
      </c>
      <c r="B916" s="271" t="s">
        <v>356</v>
      </c>
      <c r="C916" s="271"/>
      <c r="D916" s="271"/>
      <c r="E916" s="271"/>
      <c r="F916" s="272"/>
      <c r="G916" s="286"/>
      <c r="H916" s="274">
        <v>1500</v>
      </c>
      <c r="I916" s="275">
        <f>200+650+200+450</f>
        <v>1500</v>
      </c>
      <c r="J916" s="274"/>
    </row>
    <row r="917" spans="1:11" s="289" customFormat="1" ht="24" x14ac:dyDescent="0.55000000000000004">
      <c r="A917" s="270" t="s">
        <v>365</v>
      </c>
      <c r="B917" s="271" t="s">
        <v>358</v>
      </c>
      <c r="C917" s="271"/>
      <c r="D917" s="271"/>
      <c r="E917" s="271"/>
      <c r="F917" s="272"/>
      <c r="G917" s="286"/>
      <c r="H917" s="274">
        <v>50000</v>
      </c>
      <c r="I917" s="275">
        <v>84320</v>
      </c>
      <c r="J917" s="274"/>
    </row>
    <row r="918" spans="1:11" s="289" customFormat="1" ht="24" x14ac:dyDescent="0.55000000000000004">
      <c r="A918" s="270" t="s">
        <v>367</v>
      </c>
      <c r="B918" s="271" t="s">
        <v>360</v>
      </c>
      <c r="C918" s="271"/>
      <c r="D918" s="271"/>
      <c r="E918" s="271"/>
      <c r="F918" s="272"/>
      <c r="G918" s="286">
        <v>412211</v>
      </c>
      <c r="H918" s="274">
        <v>500</v>
      </c>
      <c r="I918" s="275"/>
      <c r="J918" s="274"/>
    </row>
    <row r="919" spans="1:11" s="291" customFormat="1" ht="24" x14ac:dyDescent="0.55000000000000004">
      <c r="A919" s="270" t="s">
        <v>369</v>
      </c>
      <c r="B919" s="291" t="s">
        <v>362</v>
      </c>
      <c r="F919" s="292"/>
      <c r="G919" s="293">
        <v>412299</v>
      </c>
      <c r="H919" s="294">
        <v>500</v>
      </c>
      <c r="I919" s="295"/>
      <c r="J919" s="294"/>
    </row>
    <row r="920" spans="1:11" s="265" customFormat="1" ht="24" x14ac:dyDescent="0.55000000000000004">
      <c r="A920" s="270" t="s">
        <v>371</v>
      </c>
      <c r="B920" s="291" t="s">
        <v>462</v>
      </c>
      <c r="C920" s="291"/>
      <c r="D920" s="291"/>
      <c r="E920" s="291"/>
      <c r="F920" s="292"/>
      <c r="G920" s="293"/>
      <c r="H920" s="294">
        <v>500</v>
      </c>
      <c r="I920" s="295"/>
      <c r="J920" s="294"/>
    </row>
    <row r="921" spans="1:11" s="289" customFormat="1" ht="24" x14ac:dyDescent="0.55000000000000004">
      <c r="A921" s="270" t="s">
        <v>373</v>
      </c>
      <c r="B921" s="291" t="s">
        <v>364</v>
      </c>
      <c r="C921" s="291"/>
      <c r="D921" s="291"/>
      <c r="E921" s="291"/>
      <c r="F921" s="292"/>
      <c r="G921" s="296">
        <v>412303</v>
      </c>
      <c r="H921" s="294">
        <v>500</v>
      </c>
      <c r="I921" s="295">
        <v>100</v>
      </c>
      <c r="J921" s="294"/>
    </row>
    <row r="922" spans="1:11" s="289" customFormat="1" ht="24" x14ac:dyDescent="0.55000000000000004">
      <c r="A922" s="270" t="s">
        <v>463</v>
      </c>
      <c r="B922" s="271" t="s">
        <v>366</v>
      </c>
      <c r="C922" s="271"/>
      <c r="D922" s="271"/>
      <c r="E922" s="271"/>
      <c r="F922" s="272"/>
      <c r="G922" s="273">
        <v>412304</v>
      </c>
      <c r="H922" s="274">
        <v>500</v>
      </c>
      <c r="I922" s="275"/>
      <c r="J922" s="274"/>
    </row>
    <row r="923" spans="1:11" s="289" customFormat="1" ht="24" x14ac:dyDescent="0.55000000000000004">
      <c r="A923" s="270" t="s">
        <v>464</v>
      </c>
      <c r="B923" s="271" t="s">
        <v>368</v>
      </c>
      <c r="C923" s="271"/>
      <c r="D923" s="271"/>
      <c r="E923" s="271"/>
      <c r="F923" s="272"/>
      <c r="G923" s="273">
        <v>412305</v>
      </c>
      <c r="H923" s="274">
        <v>500</v>
      </c>
      <c r="I923" s="275"/>
      <c r="J923" s="274"/>
    </row>
    <row r="924" spans="1:11" s="289" customFormat="1" ht="24" x14ac:dyDescent="0.55000000000000004">
      <c r="A924" s="270" t="s">
        <v>465</v>
      </c>
      <c r="B924" s="271" t="s">
        <v>370</v>
      </c>
      <c r="C924" s="271"/>
      <c r="D924" s="271"/>
      <c r="E924" s="271"/>
      <c r="F924" s="272"/>
      <c r="G924" s="273">
        <v>412306</v>
      </c>
      <c r="H924" s="276">
        <v>500</v>
      </c>
      <c r="I924" s="277"/>
      <c r="J924" s="274"/>
    </row>
    <row r="925" spans="1:11" s="289" customFormat="1" ht="24" x14ac:dyDescent="0.55000000000000004">
      <c r="A925" s="270" t="s">
        <v>466</v>
      </c>
      <c r="B925" s="271" t="s">
        <v>372</v>
      </c>
      <c r="C925" s="271"/>
      <c r="D925" s="271"/>
      <c r="E925" s="271"/>
      <c r="F925" s="272"/>
      <c r="G925" s="273">
        <v>412307</v>
      </c>
      <c r="H925" s="276">
        <v>2000</v>
      </c>
      <c r="I925" s="277">
        <f>20+20+40+80+20+60</f>
        <v>240</v>
      </c>
      <c r="J925" s="274">
        <v>60</v>
      </c>
    </row>
    <row r="926" spans="1:11" s="289" customFormat="1" ht="24" x14ac:dyDescent="0.55000000000000004">
      <c r="A926" s="270" t="s">
        <v>467</v>
      </c>
      <c r="B926" s="271" t="s">
        <v>374</v>
      </c>
      <c r="C926" s="271"/>
      <c r="D926" s="271"/>
      <c r="E926" s="271"/>
      <c r="F926" s="272"/>
      <c r="G926" s="273">
        <v>412399</v>
      </c>
      <c r="H926" s="276">
        <v>500</v>
      </c>
      <c r="I926" s="277">
        <f>70+30+20+500+500</f>
        <v>1120</v>
      </c>
      <c r="J926" s="268">
        <v>500</v>
      </c>
    </row>
    <row r="927" spans="1:11" s="289" customFormat="1" ht="24" x14ac:dyDescent="0.55000000000000004">
      <c r="A927" s="305"/>
      <c r="B927" s="306"/>
      <c r="C927" s="306"/>
      <c r="D927" s="306"/>
      <c r="E927" s="847"/>
      <c r="F927" s="848"/>
      <c r="G927" s="396"/>
      <c r="H927" s="299">
        <f>SUM(H905:H926)</f>
        <v>83000</v>
      </c>
      <c r="I927" s="300">
        <f>SUM(I905:I926)</f>
        <v>91880.8</v>
      </c>
      <c r="J927" s="299">
        <f>SUM(J905:J926)</f>
        <v>793.6</v>
      </c>
    </row>
    <row r="932" spans="1:11" s="289" customFormat="1" ht="24" x14ac:dyDescent="0.55000000000000004">
      <c r="A932" s="858" t="s">
        <v>455</v>
      </c>
      <c r="B932" s="858"/>
      <c r="C932" s="858"/>
      <c r="D932" s="858"/>
      <c r="E932" s="858"/>
      <c r="F932" s="858"/>
      <c r="G932" s="858"/>
      <c r="H932" s="858"/>
      <c r="I932" s="858"/>
      <c r="J932" s="858"/>
    </row>
    <row r="933" spans="1:11" s="289" customFormat="1" ht="24" x14ac:dyDescent="0.55000000000000004">
      <c r="A933" s="395"/>
      <c r="B933" s="395"/>
      <c r="C933" s="395"/>
      <c r="D933" s="395"/>
      <c r="E933" s="395"/>
      <c r="F933" s="395"/>
      <c r="G933" s="395"/>
      <c r="H933" s="395"/>
      <c r="I933" s="395"/>
      <c r="J933" s="395"/>
    </row>
    <row r="934" spans="1:11" s="259" customFormat="1" ht="24" x14ac:dyDescent="0.55000000000000004">
      <c r="A934" s="855"/>
      <c r="B934" s="856"/>
      <c r="C934" s="856"/>
      <c r="D934" s="856"/>
      <c r="E934" s="856"/>
      <c r="F934" s="857"/>
      <c r="G934" s="260" t="s">
        <v>78</v>
      </c>
      <c r="H934" s="260" t="s">
        <v>6</v>
      </c>
      <c r="I934" s="261" t="s">
        <v>335</v>
      </c>
      <c r="J934" s="262" t="s">
        <v>336</v>
      </c>
    </row>
    <row r="935" spans="1:11" s="289" customFormat="1" ht="24" x14ac:dyDescent="0.55000000000000004">
      <c r="A935" s="301" t="s">
        <v>375</v>
      </c>
      <c r="B935" s="302"/>
      <c r="C935" s="302"/>
      <c r="D935" s="271"/>
      <c r="E935" s="271"/>
      <c r="F935" s="272"/>
      <c r="G935" s="298"/>
      <c r="H935" s="268"/>
      <c r="I935" s="269"/>
      <c r="J935" s="268"/>
    </row>
    <row r="936" spans="1:11" s="289" customFormat="1" ht="24" x14ac:dyDescent="0.55000000000000004">
      <c r="A936" s="270" t="s">
        <v>339</v>
      </c>
      <c r="B936" s="271" t="s">
        <v>376</v>
      </c>
      <c r="C936" s="271"/>
      <c r="D936" s="271"/>
      <c r="E936" s="271"/>
      <c r="F936" s="272"/>
      <c r="G936" s="273">
        <v>413003</v>
      </c>
      <c r="H936" s="276">
        <v>100000</v>
      </c>
      <c r="I936" s="277">
        <f>33122.75+16284.37</f>
        <v>49407.12</v>
      </c>
      <c r="J936" s="274"/>
    </row>
    <row r="937" spans="1:11" s="259" customFormat="1" ht="24" x14ac:dyDescent="0.55000000000000004">
      <c r="A937" s="270" t="s">
        <v>341</v>
      </c>
      <c r="B937" s="271" t="s">
        <v>377</v>
      </c>
      <c r="C937" s="271"/>
      <c r="D937" s="271"/>
      <c r="E937" s="271"/>
      <c r="F937" s="272"/>
      <c r="G937" s="273">
        <v>413999</v>
      </c>
      <c r="H937" s="276">
        <v>10000</v>
      </c>
      <c r="I937" s="277">
        <v>0</v>
      </c>
      <c r="J937" s="268">
        <v>0</v>
      </c>
    </row>
    <row r="938" spans="1:11" s="259" customFormat="1" ht="24" x14ac:dyDescent="0.55000000000000004">
      <c r="A938" s="270"/>
      <c r="B938" s="271"/>
      <c r="C938" s="271"/>
      <c r="D938" s="271"/>
      <c r="E938" s="271"/>
      <c r="F938" s="272"/>
      <c r="G938" s="273"/>
      <c r="H938" s="299">
        <f>SUM(H936:H937)</f>
        <v>110000</v>
      </c>
      <c r="I938" s="300">
        <f>SUM(I936:I937)</f>
        <v>49407.12</v>
      </c>
      <c r="J938" s="299">
        <f>SUM(J936:J937)</f>
        <v>0</v>
      </c>
    </row>
    <row r="939" spans="1:11" s="289" customFormat="1" ht="24" x14ac:dyDescent="0.55000000000000004">
      <c r="A939" s="301" t="s">
        <v>378</v>
      </c>
      <c r="B939" s="302"/>
      <c r="C939" s="302"/>
      <c r="D939" s="302"/>
      <c r="E939" s="302"/>
      <c r="F939" s="272"/>
      <c r="G939" s="298"/>
      <c r="H939" s="268"/>
      <c r="I939" s="269"/>
      <c r="J939" s="268"/>
    </row>
    <row r="940" spans="1:11" s="289" customFormat="1" ht="24" x14ac:dyDescent="0.55000000000000004">
      <c r="A940" s="270" t="s">
        <v>339</v>
      </c>
      <c r="B940" s="271" t="s">
        <v>21</v>
      </c>
      <c r="C940" s="271"/>
      <c r="D940" s="271"/>
      <c r="E940" s="271"/>
      <c r="F940" s="272"/>
      <c r="G940" s="273">
        <v>414006</v>
      </c>
      <c r="H940" s="274">
        <v>1000000</v>
      </c>
      <c r="I940" s="275">
        <f>41213+40907+47749+76891+68560+118069+65793</f>
        <v>459182</v>
      </c>
      <c r="J940" s="274">
        <v>65793</v>
      </c>
    </row>
    <row r="941" spans="1:11" s="289" customFormat="1" ht="24" x14ac:dyDescent="0.55000000000000004">
      <c r="A941" s="270" t="s">
        <v>341</v>
      </c>
      <c r="B941" s="271" t="s">
        <v>379</v>
      </c>
      <c r="C941" s="271"/>
      <c r="D941" s="271"/>
      <c r="E941" s="271"/>
      <c r="F941" s="272"/>
      <c r="G941" s="273">
        <v>414999</v>
      </c>
      <c r="H941" s="268">
        <v>5000</v>
      </c>
      <c r="I941" s="269">
        <f>200+200+200+400+200+400+400</f>
        <v>2000</v>
      </c>
      <c r="J941" s="303">
        <v>400</v>
      </c>
    </row>
    <row r="942" spans="1:11" s="289" customFormat="1" ht="24" x14ac:dyDescent="0.55000000000000004">
      <c r="A942" s="391"/>
      <c r="B942" s="392"/>
      <c r="C942" s="392"/>
      <c r="D942" s="392"/>
      <c r="E942" s="859" t="s">
        <v>151</v>
      </c>
      <c r="F942" s="860"/>
      <c r="G942" s="393"/>
      <c r="H942" s="299">
        <f>SUM(H940:H941)</f>
        <v>1005000</v>
      </c>
      <c r="I942" s="300">
        <f>SUM(I940:I941)</f>
        <v>461182</v>
      </c>
      <c r="J942" s="299">
        <f>SUM(J940:J941)</f>
        <v>66193</v>
      </c>
    </row>
    <row r="943" spans="1:11" s="289" customFormat="1" ht="24" x14ac:dyDescent="0.55000000000000004">
      <c r="A943" s="301" t="s">
        <v>380</v>
      </c>
      <c r="B943" s="302"/>
      <c r="C943" s="302"/>
      <c r="D943" s="271"/>
      <c r="E943" s="271"/>
      <c r="F943" s="272"/>
      <c r="G943" s="298"/>
      <c r="H943" s="268"/>
      <c r="I943" s="269"/>
      <c r="J943" s="268"/>
    </row>
    <row r="944" spans="1:11" s="289" customFormat="1" ht="24" x14ac:dyDescent="0.55000000000000004">
      <c r="A944" s="270" t="s">
        <v>339</v>
      </c>
      <c r="B944" s="271" t="s">
        <v>381</v>
      </c>
      <c r="C944" s="271"/>
      <c r="D944" s="271"/>
      <c r="E944" s="271"/>
      <c r="F944" s="272"/>
      <c r="G944" s="273">
        <v>415004</v>
      </c>
      <c r="H944" s="274">
        <v>80000</v>
      </c>
      <c r="I944" s="277">
        <f>3000+7200+1800</f>
        <v>12000</v>
      </c>
      <c r="J944" s="274">
        <v>1800</v>
      </c>
      <c r="K944" s="289">
        <v>2</v>
      </c>
    </row>
    <row r="945" spans="1:10" s="289" customFormat="1" ht="24" x14ac:dyDescent="0.55000000000000004">
      <c r="A945" s="270" t="s">
        <v>341</v>
      </c>
      <c r="B945" s="271" t="s">
        <v>382</v>
      </c>
      <c r="C945" s="271"/>
      <c r="D945" s="271"/>
      <c r="E945" s="271"/>
      <c r="F945" s="272"/>
      <c r="G945" s="273">
        <v>415999</v>
      </c>
      <c r="H945" s="276">
        <v>10000</v>
      </c>
      <c r="I945" s="277">
        <f>500+376417.34</f>
        <v>376917.34</v>
      </c>
      <c r="J945" s="268">
        <v>376417.34</v>
      </c>
    </row>
    <row r="946" spans="1:10" s="289" customFormat="1" ht="24" x14ac:dyDescent="0.55000000000000004">
      <c r="A946" s="270"/>
      <c r="B946" s="271"/>
      <c r="C946" s="271"/>
      <c r="D946" s="271"/>
      <c r="E946" s="271"/>
      <c r="F946" s="272"/>
      <c r="G946" s="273"/>
      <c r="H946" s="299">
        <f>SUM(H944:H945)</f>
        <v>90000</v>
      </c>
      <c r="I946" s="300">
        <f>SUM(I944:I945)</f>
        <v>388917.34</v>
      </c>
      <c r="J946" s="299">
        <f>SUM(J944:J945)</f>
        <v>378217.34</v>
      </c>
    </row>
    <row r="947" spans="1:10" s="289" customFormat="1" ht="24" x14ac:dyDescent="0.55000000000000004">
      <c r="A947" s="301" t="s">
        <v>383</v>
      </c>
      <c r="B947" s="302"/>
      <c r="C947" s="302"/>
      <c r="D947" s="271"/>
      <c r="E947" s="271"/>
      <c r="F947" s="272"/>
      <c r="G947" s="298"/>
      <c r="H947" s="268"/>
      <c r="I947" s="269"/>
      <c r="J947" s="268"/>
    </row>
    <row r="948" spans="1:10" s="289" customFormat="1" ht="24" x14ac:dyDescent="0.55000000000000004">
      <c r="A948" s="270" t="s">
        <v>339</v>
      </c>
      <c r="B948" s="271" t="s">
        <v>384</v>
      </c>
      <c r="C948" s="271"/>
      <c r="D948" s="271"/>
      <c r="E948" s="271"/>
      <c r="F948" s="272"/>
      <c r="G948" s="273">
        <v>416001</v>
      </c>
      <c r="H948" s="274">
        <v>2000</v>
      </c>
      <c r="I948" s="277">
        <v>3665</v>
      </c>
      <c r="J948" s="274">
        <v>0</v>
      </c>
    </row>
    <row r="949" spans="1:10" s="289" customFormat="1" ht="24" x14ac:dyDescent="0.55000000000000004">
      <c r="A949" s="270" t="s">
        <v>341</v>
      </c>
      <c r="B949" s="271" t="s">
        <v>385</v>
      </c>
      <c r="C949" s="271"/>
      <c r="D949" s="271"/>
      <c r="E949" s="271"/>
      <c r="F949" s="272"/>
      <c r="G949" s="273">
        <v>416999</v>
      </c>
      <c r="H949" s="276">
        <v>0</v>
      </c>
      <c r="I949" s="277">
        <v>0</v>
      </c>
      <c r="J949" s="268">
        <v>0</v>
      </c>
    </row>
    <row r="950" spans="1:10" s="289" customFormat="1" ht="24" x14ac:dyDescent="0.55000000000000004">
      <c r="A950" s="270"/>
      <c r="B950" s="271"/>
      <c r="C950" s="271"/>
      <c r="D950" s="271"/>
      <c r="E950" s="271"/>
      <c r="F950" s="272"/>
      <c r="G950" s="273"/>
      <c r="H950" s="299">
        <f>SUM(H948:H949)</f>
        <v>2000</v>
      </c>
      <c r="I950" s="300">
        <f>SUM(I948:I949)</f>
        <v>3665</v>
      </c>
      <c r="J950" s="299">
        <f>SUM(J948:J949)</f>
        <v>0</v>
      </c>
    </row>
    <row r="951" spans="1:10" s="289" customFormat="1" ht="24" x14ac:dyDescent="0.55000000000000004">
      <c r="A951" s="304" t="s">
        <v>386</v>
      </c>
      <c r="B951" s="271"/>
      <c r="C951" s="271"/>
      <c r="D951" s="271"/>
      <c r="E951" s="271"/>
      <c r="F951" s="272"/>
      <c r="G951" s="273"/>
      <c r="H951" s="268"/>
      <c r="I951" s="269"/>
      <c r="J951" s="268"/>
    </row>
    <row r="952" spans="1:10" s="259" customFormat="1" ht="24" x14ac:dyDescent="0.55000000000000004">
      <c r="A952" s="270" t="s">
        <v>339</v>
      </c>
      <c r="B952" s="271" t="s">
        <v>387</v>
      </c>
      <c r="C952" s="271"/>
      <c r="D952" s="271"/>
      <c r="E952" s="271"/>
      <c r="F952" s="272"/>
      <c r="G952" s="273">
        <v>421002</v>
      </c>
      <c r="H952" s="274">
        <v>7000000</v>
      </c>
      <c r="I952" s="274">
        <f>576013.89+578421.62+586350.36+110502.39+605668.57+625606.99+626432.16</f>
        <v>3708995.9800000004</v>
      </c>
      <c r="J952" s="274">
        <v>626432.16</v>
      </c>
    </row>
    <row r="953" spans="1:10" s="259" customFormat="1" ht="24" x14ac:dyDescent="0.55000000000000004">
      <c r="A953" s="270" t="s">
        <v>341</v>
      </c>
      <c r="B953" s="271" t="s">
        <v>388</v>
      </c>
      <c r="C953" s="271"/>
      <c r="D953" s="271"/>
      <c r="E953" s="271"/>
      <c r="F953" s="272"/>
      <c r="G953" s="273">
        <v>421004</v>
      </c>
      <c r="H953" s="274">
        <v>1500000</v>
      </c>
      <c r="I953" s="274">
        <f>113953.78+131505.43+128502.61+128239.4+124886.95</f>
        <v>627088.16999999993</v>
      </c>
      <c r="J953" s="274"/>
    </row>
    <row r="954" spans="1:10" s="259" customFormat="1" ht="24" x14ac:dyDescent="0.55000000000000004">
      <c r="A954" s="270" t="s">
        <v>343</v>
      </c>
      <c r="B954" s="271" t="s">
        <v>389</v>
      </c>
      <c r="C954" s="271"/>
      <c r="D954" s="271"/>
      <c r="E954" s="271"/>
      <c r="F954" s="272"/>
      <c r="G954" s="273">
        <v>421005</v>
      </c>
      <c r="H954" s="274">
        <v>100000</v>
      </c>
      <c r="I954" s="274">
        <f>2747.3+3451.03+11616.96+6332.98</f>
        <v>24148.27</v>
      </c>
      <c r="J954" s="274"/>
    </row>
    <row r="955" spans="1:10" s="259" customFormat="1" ht="24" x14ac:dyDescent="0.55000000000000004">
      <c r="A955" s="270" t="s">
        <v>345</v>
      </c>
      <c r="B955" s="271" t="s">
        <v>390</v>
      </c>
      <c r="C955" s="271"/>
      <c r="D955" s="271"/>
      <c r="E955" s="271"/>
      <c r="F955" s="272"/>
      <c r="G955" s="273">
        <v>421006</v>
      </c>
      <c r="H955" s="274">
        <v>700000</v>
      </c>
      <c r="I955" s="274">
        <f>47274.97+53800.47+56240.22+68576.03+61149.91</f>
        <v>287041.59999999998</v>
      </c>
      <c r="J955" s="274"/>
    </row>
    <row r="956" spans="1:10" s="259" customFormat="1" ht="24" x14ac:dyDescent="0.55000000000000004">
      <c r="A956" s="270" t="s">
        <v>347</v>
      </c>
      <c r="B956" s="271" t="s">
        <v>391</v>
      </c>
      <c r="C956" s="271"/>
      <c r="D956" s="271"/>
      <c r="E956" s="271"/>
      <c r="F956" s="272"/>
      <c r="G956" s="273">
        <v>421007</v>
      </c>
      <c r="H956" s="274">
        <v>1000000</v>
      </c>
      <c r="I956" s="275">
        <f>102069.72+113369.21+155.2+106077+125885.21+147366.97-155.2-252.2-213.4-213.4</f>
        <v>594089.1100000001</v>
      </c>
      <c r="J956" s="274"/>
    </row>
    <row r="957" spans="1:10" s="259" customFormat="1" ht="24" x14ac:dyDescent="0.55000000000000004">
      <c r="A957" s="270" t="s">
        <v>355</v>
      </c>
      <c r="B957" s="271" t="s">
        <v>468</v>
      </c>
      <c r="C957" s="271"/>
      <c r="D957" s="271"/>
      <c r="E957" s="271"/>
      <c r="F957" s="272"/>
      <c r="G957" s="273">
        <v>421011</v>
      </c>
      <c r="H957" s="274">
        <v>10000</v>
      </c>
      <c r="I957" s="275"/>
      <c r="J957" s="274"/>
    </row>
    <row r="958" spans="1:10" s="259" customFormat="1" ht="24" x14ac:dyDescent="0.55000000000000004">
      <c r="A958" s="290" t="s">
        <v>357</v>
      </c>
      <c r="B958" s="259" t="s">
        <v>392</v>
      </c>
      <c r="G958" s="273">
        <v>421012</v>
      </c>
      <c r="H958" s="274">
        <v>30000</v>
      </c>
      <c r="I958" s="275">
        <v>4875.42</v>
      </c>
      <c r="J958" s="274"/>
    </row>
    <row r="959" spans="1:10" s="259" customFormat="1" ht="24" x14ac:dyDescent="0.55000000000000004">
      <c r="A959" s="290" t="s">
        <v>359</v>
      </c>
      <c r="B959" s="271" t="s">
        <v>393</v>
      </c>
      <c r="C959" s="271"/>
      <c r="D959" s="271"/>
      <c r="E959" s="271"/>
      <c r="F959" s="272"/>
      <c r="G959" s="273">
        <v>421013</v>
      </c>
      <c r="H959" s="274">
        <v>40000</v>
      </c>
      <c r="I959" s="275">
        <f>7014.11+6835.44</f>
        <v>13849.55</v>
      </c>
      <c r="J959" s="274"/>
    </row>
    <row r="960" spans="1:10" s="259" customFormat="1" ht="24" x14ac:dyDescent="0.55000000000000004">
      <c r="A960" s="270" t="s">
        <v>361</v>
      </c>
      <c r="B960" s="271" t="s">
        <v>394</v>
      </c>
      <c r="C960" s="271"/>
      <c r="D960" s="271"/>
      <c r="E960" s="271"/>
      <c r="F960" s="272"/>
      <c r="G960" s="273">
        <v>421015</v>
      </c>
      <c r="H960" s="274">
        <v>1000000</v>
      </c>
      <c r="I960" s="275">
        <f>110381.75+16924+53331+72684+14094</f>
        <v>267414.75</v>
      </c>
      <c r="J960" s="274"/>
    </row>
    <row r="961" spans="1:10" s="259" customFormat="1" ht="24" x14ac:dyDescent="0.55000000000000004">
      <c r="A961" s="270" t="s">
        <v>363</v>
      </c>
      <c r="B961" s="271" t="s">
        <v>395</v>
      </c>
      <c r="C961" s="271"/>
      <c r="D961" s="271"/>
      <c r="E961" s="271"/>
      <c r="F961" s="272"/>
      <c r="G961" s="273">
        <v>421999</v>
      </c>
      <c r="H961" s="274">
        <v>10000</v>
      </c>
      <c r="I961" s="275"/>
      <c r="J961" s="274"/>
    </row>
    <row r="962" spans="1:10" s="259" customFormat="1" ht="24" x14ac:dyDescent="0.55000000000000004">
      <c r="A962" s="270" t="s">
        <v>365</v>
      </c>
      <c r="B962" s="271" t="s">
        <v>505</v>
      </c>
      <c r="C962" s="271"/>
      <c r="D962" s="271"/>
      <c r="E962" s="271"/>
      <c r="F962" s="272"/>
      <c r="G962" s="273"/>
      <c r="H962" s="268">
        <v>500000</v>
      </c>
      <c r="I962" s="269">
        <f>767.81+34450.16+6327.11+29362.51</f>
        <v>70907.59</v>
      </c>
      <c r="J962" s="268">
        <f>6327.11+29362.51</f>
        <v>35689.619999999995</v>
      </c>
    </row>
    <row r="963" spans="1:10" s="289" customFormat="1" ht="24" x14ac:dyDescent="0.55000000000000004">
      <c r="A963" s="297"/>
      <c r="B963" s="271"/>
      <c r="C963" s="271"/>
      <c r="D963" s="271"/>
      <c r="E963" s="861" t="s">
        <v>151</v>
      </c>
      <c r="F963" s="862"/>
      <c r="G963" s="298"/>
      <c r="H963" s="299">
        <f>SUM(H952:H962)</f>
        <v>11890000</v>
      </c>
      <c r="I963" s="300">
        <f>SUM(I952:I962)</f>
        <v>5598410.4399999995</v>
      </c>
      <c r="J963" s="299">
        <f>SUM(J952:J962)</f>
        <v>662121.78</v>
      </c>
    </row>
    <row r="964" spans="1:10" s="289" customFormat="1" ht="24" x14ac:dyDescent="0.55000000000000004">
      <c r="A964" s="305"/>
      <c r="B964" s="306"/>
      <c r="C964" s="306"/>
      <c r="D964" s="306"/>
      <c r="E964" s="847"/>
      <c r="F964" s="848"/>
      <c r="G964" s="307"/>
      <c r="H964" s="299"/>
      <c r="I964" s="299"/>
      <c r="J964" s="299"/>
    </row>
    <row r="966" spans="1:10" s="289" customFormat="1" ht="24" x14ac:dyDescent="0.55000000000000004">
      <c r="A966" s="849"/>
      <c r="B966" s="849"/>
      <c r="C966" s="849"/>
      <c r="D966" s="849"/>
      <c r="G966" s="265"/>
      <c r="H966" s="258"/>
      <c r="I966" s="258"/>
      <c r="J966" s="258"/>
    </row>
    <row r="967" spans="1:10" s="289" customFormat="1" ht="24" x14ac:dyDescent="0.55000000000000004">
      <c r="A967" s="543"/>
      <c r="B967" s="543"/>
      <c r="C967" s="543"/>
      <c r="D967" s="543"/>
      <c r="H967" s="258"/>
      <c r="I967" s="258"/>
      <c r="J967" s="258"/>
    </row>
    <row r="968" spans="1:10" s="289" customFormat="1" ht="24" x14ac:dyDescent="0.55000000000000004">
      <c r="A968" s="543"/>
      <c r="B968" s="543"/>
      <c r="C968" s="543"/>
      <c r="D968" s="543"/>
      <c r="H968" s="258"/>
      <c r="I968" s="258"/>
      <c r="J968" s="258"/>
    </row>
    <row r="969" spans="1:10" s="289" customFormat="1" ht="24" x14ac:dyDescent="0.55000000000000004">
      <c r="A969" s="592"/>
      <c r="B969" s="592"/>
      <c r="C969" s="592"/>
      <c r="D969" s="592"/>
      <c r="H969" s="258"/>
      <c r="I969" s="258"/>
      <c r="J969" s="258"/>
    </row>
    <row r="970" spans="1:10" s="289" customFormat="1" ht="24" x14ac:dyDescent="0.55000000000000004">
      <c r="A970" s="592"/>
      <c r="B970" s="592"/>
      <c r="C970" s="592"/>
      <c r="D970" s="592"/>
      <c r="H970" s="258"/>
      <c r="I970" s="258"/>
      <c r="J970" s="258"/>
    </row>
    <row r="971" spans="1:10" s="289" customFormat="1" ht="24" x14ac:dyDescent="0.55000000000000004">
      <c r="A971" s="543"/>
      <c r="B971" s="543"/>
      <c r="C971" s="543"/>
      <c r="D971" s="543"/>
      <c r="F971" s="543" t="s">
        <v>491</v>
      </c>
      <c r="H971" s="258"/>
      <c r="I971" s="258"/>
      <c r="J971" s="258"/>
    </row>
    <row r="972" spans="1:10" s="289" customFormat="1" ht="24" x14ac:dyDescent="0.55000000000000004">
      <c r="A972" s="543"/>
      <c r="B972" s="543"/>
      <c r="C972" s="543"/>
      <c r="D972" s="543"/>
      <c r="F972" s="543"/>
      <c r="H972" s="258"/>
      <c r="I972" s="258"/>
      <c r="J972" s="258"/>
    </row>
    <row r="973" spans="1:10" s="289" customFormat="1" ht="24" x14ac:dyDescent="0.55000000000000004">
      <c r="A973" s="850"/>
      <c r="B973" s="851"/>
      <c r="C973" s="851"/>
      <c r="D973" s="851"/>
      <c r="E973" s="851"/>
      <c r="F973" s="852"/>
      <c r="G973" s="411" t="s">
        <v>78</v>
      </c>
      <c r="H973" s="411" t="s">
        <v>6</v>
      </c>
      <c r="I973" s="261" t="s">
        <v>335</v>
      </c>
      <c r="J973" s="412" t="s">
        <v>336</v>
      </c>
    </row>
    <row r="974" spans="1:10" s="289" customFormat="1" ht="24" x14ac:dyDescent="0.55000000000000004">
      <c r="A974" s="301" t="s">
        <v>396</v>
      </c>
      <c r="B974" s="302"/>
      <c r="C974" s="271"/>
      <c r="D974" s="271"/>
      <c r="E974" s="271"/>
      <c r="F974" s="272"/>
      <c r="G974" s="298"/>
      <c r="H974" s="268"/>
      <c r="I974" s="269"/>
      <c r="J974" s="268"/>
    </row>
    <row r="975" spans="1:10" s="289" customFormat="1" ht="24" x14ac:dyDescent="0.55000000000000004">
      <c r="A975" s="270" t="s">
        <v>339</v>
      </c>
      <c r="B975" s="271" t="s">
        <v>469</v>
      </c>
      <c r="C975" s="271"/>
      <c r="D975" s="271"/>
      <c r="E975" s="271"/>
      <c r="F975" s="272"/>
      <c r="G975" s="273">
        <v>431002</v>
      </c>
      <c r="H975" s="274">
        <v>4750000</v>
      </c>
      <c r="I975" s="275">
        <f>976141+976141</f>
        <v>1952282</v>
      </c>
      <c r="J975" s="274"/>
    </row>
    <row r="976" spans="1:10" s="289" customFormat="1" ht="24" x14ac:dyDescent="0.55000000000000004">
      <c r="A976" s="397"/>
      <c r="B976" s="271" t="s">
        <v>470</v>
      </c>
      <c r="C976" s="271"/>
      <c r="D976" s="271"/>
      <c r="E976" s="392"/>
      <c r="F976" s="398"/>
      <c r="G976" s="298"/>
      <c r="H976" s="402"/>
      <c r="I976" s="402"/>
      <c r="J976" s="402"/>
    </row>
    <row r="977" spans="1:11" s="289" customFormat="1" ht="24" x14ac:dyDescent="0.55000000000000004">
      <c r="A977" s="397"/>
      <c r="B977" s="271" t="s">
        <v>483</v>
      </c>
      <c r="C977" s="271"/>
      <c r="D977" s="392"/>
      <c r="E977" s="392"/>
      <c r="F977" s="398"/>
      <c r="G977" s="298"/>
      <c r="H977" s="402"/>
      <c r="I977" s="407">
        <f>69514+158955+135460</f>
        <v>363929</v>
      </c>
      <c r="J977" s="407">
        <v>135460</v>
      </c>
    </row>
    <row r="978" spans="1:11" s="289" customFormat="1" ht="24" x14ac:dyDescent="0.55000000000000004">
      <c r="A978" s="397"/>
      <c r="B978" s="271" t="s">
        <v>481</v>
      </c>
      <c r="C978" s="271"/>
      <c r="D978" s="392"/>
      <c r="E978" s="392"/>
      <c r="F978" s="398"/>
      <c r="G978" s="298"/>
      <c r="H978" s="402"/>
      <c r="I978" s="407">
        <f>244000+244000+316000</f>
        <v>804000</v>
      </c>
      <c r="J978" s="407">
        <v>316000</v>
      </c>
    </row>
    <row r="979" spans="1:11" s="289" customFormat="1" ht="24" x14ac:dyDescent="0.55000000000000004">
      <c r="A979" s="397"/>
      <c r="B979" s="271" t="s">
        <v>487</v>
      </c>
      <c r="C979" s="271"/>
      <c r="D979" s="271"/>
      <c r="E979" s="271"/>
      <c r="F979" s="272"/>
      <c r="G979" s="298"/>
      <c r="H979" s="274"/>
      <c r="I979" s="275">
        <v>8000</v>
      </c>
      <c r="J979" s="274"/>
    </row>
    <row r="980" spans="1:11" s="289" customFormat="1" ht="24" x14ac:dyDescent="0.55000000000000004">
      <c r="A980" s="397"/>
      <c r="B980" s="291" t="s">
        <v>486</v>
      </c>
      <c r="C980" s="291"/>
      <c r="D980" s="291"/>
      <c r="E980" s="265"/>
      <c r="F980" s="266"/>
      <c r="G980" s="402"/>
      <c r="H980" s="274"/>
      <c r="I980" s="275">
        <v>52500</v>
      </c>
      <c r="J980" s="274"/>
    </row>
    <row r="981" spans="1:11" s="289" customFormat="1" ht="24" x14ac:dyDescent="0.55000000000000004">
      <c r="A981" s="397"/>
      <c r="B981" s="271" t="s">
        <v>482</v>
      </c>
      <c r="C981" s="271"/>
      <c r="D981" s="271"/>
      <c r="E981" s="392"/>
      <c r="F981" s="398"/>
      <c r="G981" s="402"/>
      <c r="H981" s="274"/>
      <c r="I981" s="275">
        <f>7500+7500+15000</f>
        <v>30000</v>
      </c>
      <c r="J981" s="274">
        <v>15000</v>
      </c>
      <c r="K981" s="289">
        <v>3</v>
      </c>
    </row>
    <row r="982" spans="1:11" s="289" customFormat="1" ht="24" x14ac:dyDescent="0.55000000000000004">
      <c r="A982" s="397"/>
      <c r="B982" s="392"/>
      <c r="C982" s="392"/>
      <c r="D982" s="392"/>
      <c r="E982" s="392"/>
      <c r="F982" s="398"/>
      <c r="G982" s="402"/>
      <c r="H982" s="274"/>
      <c r="I982" s="275"/>
      <c r="J982" s="274"/>
    </row>
    <row r="983" spans="1:11" s="289" customFormat="1" ht="24" x14ac:dyDescent="0.55000000000000004">
      <c r="A983" s="397"/>
      <c r="B983" s="392"/>
      <c r="C983" s="392"/>
      <c r="D983" s="392"/>
      <c r="E983" s="392"/>
      <c r="F983" s="398"/>
      <c r="G983" s="402"/>
      <c r="H983" s="303"/>
      <c r="I983" s="399"/>
      <c r="J983" s="303"/>
    </row>
    <row r="984" spans="1:11" s="289" customFormat="1" ht="24" x14ac:dyDescent="0.55000000000000004">
      <c r="A984" s="305"/>
      <c r="B984" s="306"/>
      <c r="C984" s="306"/>
      <c r="D984" s="306"/>
      <c r="E984" s="847" t="s">
        <v>151</v>
      </c>
      <c r="F984" s="848"/>
      <c r="G984" s="307"/>
      <c r="H984" s="299">
        <f>SUM(H975)</f>
        <v>4750000</v>
      </c>
      <c r="I984" s="299">
        <f>SUM(I975:I983)</f>
        <v>3210711</v>
      </c>
      <c r="J984" s="299">
        <f>SUM(J975:J983)</f>
        <v>466460</v>
      </c>
    </row>
    <row r="985" spans="1:11" s="289" customFormat="1" ht="28.5" customHeight="1" thickBot="1" x14ac:dyDescent="0.6">
      <c r="A985" s="464"/>
      <c r="B985" s="461"/>
      <c r="C985" s="461"/>
      <c r="D985" s="461"/>
      <c r="E985" s="462" t="s">
        <v>612</v>
      </c>
      <c r="F985" s="463"/>
      <c r="G985" s="463"/>
      <c r="H985" s="309">
        <f>+H903+H927+H938+H942+H946+H950+H963+H984</f>
        <v>22000000</v>
      </c>
      <c r="I985" s="309">
        <f>+I903+I927+I938+I942+I946+I950+I963+I984</f>
        <v>14902092.359999999</v>
      </c>
      <c r="J985" s="309">
        <f>+J903+J927+J938+J942+J946+J950+J963+J984</f>
        <v>1650703.06</v>
      </c>
    </row>
    <row r="986" spans="1:11" ht="24.75" thickTop="1" x14ac:dyDescent="0.55000000000000004">
      <c r="A986" s="111"/>
      <c r="G986" s="402"/>
      <c r="H986" s="274"/>
      <c r="I986" s="275"/>
      <c r="J986" s="274"/>
    </row>
    <row r="987" spans="1:11" ht="24" x14ac:dyDescent="0.55000000000000004">
      <c r="A987" s="405" t="s">
        <v>477</v>
      </c>
      <c r="B987" s="406"/>
      <c r="C987" s="291"/>
      <c r="D987" s="291"/>
      <c r="E987" s="291"/>
      <c r="F987" s="292"/>
      <c r="G987" s="402"/>
      <c r="H987" s="268"/>
      <c r="I987" s="269"/>
      <c r="J987" s="268"/>
    </row>
    <row r="988" spans="1:11" ht="24" x14ac:dyDescent="0.55000000000000004">
      <c r="A988" s="270" t="s">
        <v>339</v>
      </c>
      <c r="B988" s="271" t="s">
        <v>476</v>
      </c>
      <c r="C988" s="271"/>
      <c r="D988" s="271"/>
      <c r="E988" s="271"/>
      <c r="F988" s="272"/>
      <c r="G988" s="273"/>
      <c r="H988" s="274"/>
      <c r="I988" s="275"/>
      <c r="J988" s="274"/>
    </row>
    <row r="989" spans="1:11" ht="24" x14ac:dyDescent="0.55000000000000004">
      <c r="A989" s="270"/>
      <c r="B989" s="271" t="s">
        <v>484</v>
      </c>
      <c r="C989" s="271"/>
      <c r="D989" s="271"/>
      <c r="E989" s="271"/>
      <c r="F989" s="272"/>
      <c r="G989" s="273"/>
      <c r="H989" s="274"/>
      <c r="I989" s="275">
        <f>1011900+674600+657800</f>
        <v>2344300</v>
      </c>
      <c r="J989" s="274">
        <v>657800</v>
      </c>
    </row>
    <row r="990" spans="1:11" ht="24" x14ac:dyDescent="0.55000000000000004">
      <c r="A990" s="270"/>
      <c r="B990" s="271" t="s">
        <v>485</v>
      </c>
      <c r="C990" s="271"/>
      <c r="D990" s="271"/>
      <c r="E990" s="271"/>
      <c r="F990" s="272"/>
      <c r="G990" s="273"/>
      <c r="H990" s="274"/>
      <c r="I990" s="531">
        <f>136800+136800+45600</f>
        <v>319200</v>
      </c>
      <c r="J990" s="274">
        <v>45600</v>
      </c>
    </row>
    <row r="991" spans="1:11" ht="24" x14ac:dyDescent="0.55000000000000004">
      <c r="A991" s="270"/>
      <c r="B991" s="302" t="s">
        <v>488</v>
      </c>
      <c r="C991" s="302"/>
      <c r="D991" s="302"/>
      <c r="E991" s="271"/>
      <c r="F991" s="272"/>
      <c r="G991" s="273"/>
      <c r="H991" s="274"/>
      <c r="I991" s="275"/>
      <c r="J991" s="274"/>
    </row>
    <row r="992" spans="1:11" ht="24" x14ac:dyDescent="0.55000000000000004">
      <c r="A992" s="270"/>
      <c r="B992" s="271" t="s">
        <v>478</v>
      </c>
      <c r="C992" s="271"/>
      <c r="D992" s="271"/>
      <c r="E992" s="271"/>
      <c r="F992" s="272"/>
      <c r="G992" s="273"/>
      <c r="H992" s="274"/>
      <c r="I992" s="275">
        <v>50400</v>
      </c>
      <c r="J992" s="274"/>
    </row>
    <row r="993" spans="1:10" ht="24" x14ac:dyDescent="0.55000000000000004">
      <c r="A993" s="270"/>
      <c r="B993" s="271" t="s">
        <v>479</v>
      </c>
      <c r="C993" s="271"/>
      <c r="D993" s="271"/>
      <c r="E993" s="271"/>
      <c r="F993" s="272"/>
      <c r="G993" s="273"/>
      <c r="H993" s="274"/>
      <c r="I993" s="275">
        <f>118290+78860+17955+160150</f>
        <v>375255</v>
      </c>
      <c r="J993" s="274">
        <v>160150</v>
      </c>
    </row>
    <row r="994" spans="1:10" ht="24" x14ac:dyDescent="0.55000000000000004">
      <c r="A994" s="270"/>
      <c r="B994" s="271" t="s">
        <v>522</v>
      </c>
      <c r="C994" s="271"/>
      <c r="D994" s="271"/>
      <c r="E994" s="271"/>
      <c r="F994" s="272"/>
      <c r="G994" s="273"/>
      <c r="H994" s="274"/>
      <c r="I994" s="275">
        <f>21800+68400+45600+91200</f>
        <v>227000</v>
      </c>
      <c r="J994" s="274">
        <v>91200</v>
      </c>
    </row>
    <row r="995" spans="1:10" ht="24" x14ac:dyDescent="0.55000000000000004">
      <c r="A995" s="270"/>
      <c r="B995" s="271" t="s">
        <v>521</v>
      </c>
      <c r="C995" s="271"/>
      <c r="D995" s="271"/>
      <c r="E995" s="271"/>
      <c r="F995" s="272"/>
      <c r="G995" s="273"/>
      <c r="H995" s="274"/>
      <c r="I995" s="275">
        <f>1090+3420+2280+4560</f>
        <v>11350</v>
      </c>
      <c r="J995" s="274">
        <v>4560</v>
      </c>
    </row>
    <row r="996" spans="1:10" ht="24" x14ac:dyDescent="0.55000000000000004">
      <c r="A996" s="270"/>
      <c r="B996" s="271" t="s">
        <v>489</v>
      </c>
      <c r="C996" s="271"/>
      <c r="D996" s="271"/>
      <c r="E996" s="271"/>
      <c r="F996" s="272"/>
      <c r="G996" s="273"/>
      <c r="H996" s="274"/>
      <c r="I996" s="275"/>
      <c r="J996" s="274"/>
    </row>
    <row r="997" spans="1:10" ht="24" x14ac:dyDescent="0.55000000000000004">
      <c r="A997" s="270"/>
      <c r="B997" s="271" t="s">
        <v>490</v>
      </c>
      <c r="C997" s="271"/>
      <c r="D997" s="271"/>
      <c r="E997" s="271"/>
      <c r="F997" s="272"/>
      <c r="G997" s="273"/>
      <c r="H997" s="274"/>
      <c r="I997" s="275"/>
      <c r="J997" s="274"/>
    </row>
    <row r="998" spans="1:10" ht="24" x14ac:dyDescent="0.55000000000000004">
      <c r="A998" s="270"/>
      <c r="B998" s="271"/>
      <c r="C998" s="271"/>
      <c r="D998" s="271"/>
      <c r="E998" s="271"/>
      <c r="F998" s="272"/>
      <c r="G998" s="273"/>
      <c r="H998" s="274"/>
      <c r="I998" s="275"/>
      <c r="J998" s="274"/>
    </row>
    <row r="999" spans="1:10" ht="24" x14ac:dyDescent="0.55000000000000004">
      <c r="A999" s="270"/>
      <c r="B999" s="271"/>
      <c r="C999" s="271"/>
      <c r="D999" s="271"/>
      <c r="E999" s="271"/>
      <c r="F999" s="272"/>
      <c r="G999" s="273"/>
      <c r="H999" s="274"/>
      <c r="I999" s="275"/>
      <c r="J999" s="274"/>
    </row>
    <row r="1000" spans="1:10" ht="24" x14ac:dyDescent="0.55000000000000004">
      <c r="A1000" s="305"/>
      <c r="B1000" s="306"/>
      <c r="C1000" s="306"/>
      <c r="D1000" s="306"/>
      <c r="E1000" s="847" t="s">
        <v>151</v>
      </c>
      <c r="F1000" s="848"/>
      <c r="G1000" s="307"/>
      <c r="H1000" s="299">
        <f>SUM(H989:H999)</f>
        <v>0</v>
      </c>
      <c r="I1000" s="299">
        <f>SUM(I989:I999)</f>
        <v>3327505</v>
      </c>
      <c r="J1000" s="299">
        <f>SUM(J987:J999)</f>
        <v>959310</v>
      </c>
    </row>
    <row r="1001" spans="1:10" ht="24.75" thickBot="1" x14ac:dyDescent="0.6">
      <c r="A1001" s="428"/>
      <c r="B1001" s="265"/>
      <c r="C1001" s="265"/>
      <c r="D1001" s="265"/>
      <c r="E1001" s="420" t="s">
        <v>506</v>
      </c>
      <c r="G1001" s="265"/>
      <c r="H1001" s="425">
        <f>SUM(H1000)</f>
        <v>0</v>
      </c>
      <c r="I1001" s="425">
        <f>SUM(I1000)</f>
        <v>3327505</v>
      </c>
      <c r="J1001" s="425">
        <f>SUM(J1000)</f>
        <v>959310</v>
      </c>
    </row>
    <row r="1002" spans="1:10" ht="24" x14ac:dyDescent="0.55000000000000004">
      <c r="A1002" s="421"/>
      <c r="B1002" s="422"/>
      <c r="C1002" s="422"/>
      <c r="D1002" s="422"/>
      <c r="E1002" s="423" t="s">
        <v>613</v>
      </c>
      <c r="F1002" s="161"/>
      <c r="G1002" s="424"/>
      <c r="H1002" s="426"/>
      <c r="I1002" s="426">
        <f>+I1001+I985</f>
        <v>18229597.359999999</v>
      </c>
      <c r="J1002" s="427">
        <f>+J1001+J985</f>
        <v>2610013.06</v>
      </c>
    </row>
    <row r="1003" spans="1:10" s="289" customFormat="1" ht="24" x14ac:dyDescent="0.55000000000000004"/>
    <row r="1004" spans="1:10" s="312" customFormat="1" ht="24" x14ac:dyDescent="0.55000000000000004"/>
    <row r="1012" spans="1:10" s="289" customFormat="1" ht="24" x14ac:dyDescent="0.55000000000000004">
      <c r="A1012" s="564"/>
      <c r="B1012" s="564"/>
      <c r="C1012" s="564"/>
      <c r="D1012" s="564"/>
      <c r="F1012" s="564" t="s">
        <v>634</v>
      </c>
      <c r="H1012" s="258"/>
      <c r="I1012" s="258"/>
      <c r="J1012" s="258"/>
    </row>
    <row r="1016" spans="1:10" ht="23.25" customHeight="1" x14ac:dyDescent="0.55000000000000004">
      <c r="A1016" s="850"/>
      <c r="B1016" s="851"/>
      <c r="C1016" s="851"/>
      <c r="D1016" s="851"/>
      <c r="E1016" s="851"/>
      <c r="F1016" s="852"/>
      <c r="G1016" s="411" t="s">
        <v>78</v>
      </c>
      <c r="H1016" s="411" t="s">
        <v>6</v>
      </c>
      <c r="I1016" s="261" t="s">
        <v>335</v>
      </c>
      <c r="J1016" s="412" t="s">
        <v>336</v>
      </c>
    </row>
    <row r="1017" spans="1:10" ht="24" x14ac:dyDescent="0.55000000000000004">
      <c r="A1017" s="304" t="s">
        <v>630</v>
      </c>
      <c r="B1017" s="302"/>
      <c r="C1017" s="271"/>
      <c r="D1017" s="271"/>
      <c r="E1017" s="271"/>
      <c r="F1017" s="272"/>
      <c r="G1017" s="273"/>
      <c r="H1017" s="274"/>
      <c r="I1017" s="275"/>
      <c r="J1017" s="274"/>
    </row>
    <row r="1018" spans="1:10" ht="24" x14ac:dyDescent="0.55000000000000004">
      <c r="A1018" s="270"/>
      <c r="B1018" s="271" t="s">
        <v>633</v>
      </c>
      <c r="C1018" s="271"/>
      <c r="D1018" s="271"/>
      <c r="E1018" s="271"/>
      <c r="F1018" s="272"/>
      <c r="G1018" s="273"/>
      <c r="H1018" s="274"/>
      <c r="I1018" s="275">
        <v>4282000</v>
      </c>
      <c r="J1018" s="274"/>
    </row>
    <row r="1019" spans="1:10" ht="24" x14ac:dyDescent="0.55000000000000004">
      <c r="A1019" s="270"/>
      <c r="B1019" s="271" t="s">
        <v>631</v>
      </c>
      <c r="C1019" s="271"/>
      <c r="D1019" s="271"/>
      <c r="E1019" s="271"/>
      <c r="F1019" s="272"/>
      <c r="G1019" s="273"/>
      <c r="H1019" s="274"/>
      <c r="I1019" s="275">
        <v>1061725.6399999999</v>
      </c>
      <c r="J1019" s="274">
        <v>1061725.6399999999</v>
      </c>
    </row>
    <row r="1020" spans="1:10" ht="24" x14ac:dyDescent="0.55000000000000004">
      <c r="A1020" s="270"/>
      <c r="B1020" s="271" t="s">
        <v>632</v>
      </c>
      <c r="C1020" s="271"/>
      <c r="D1020" s="271"/>
      <c r="E1020" s="271"/>
      <c r="F1020" s="272"/>
      <c r="G1020" s="273"/>
      <c r="H1020" s="274"/>
      <c r="I1020" s="275"/>
      <c r="J1020" s="274"/>
    </row>
    <row r="1021" spans="1:10" ht="24" x14ac:dyDescent="0.55000000000000004">
      <c r="A1021" s="270"/>
      <c r="B1021" s="271" t="s">
        <v>631</v>
      </c>
      <c r="C1021" s="271"/>
      <c r="D1021" s="271"/>
      <c r="E1021" s="271"/>
      <c r="F1021" s="272"/>
      <c r="G1021" s="273"/>
      <c r="H1021" s="274"/>
      <c r="I1021" s="275"/>
      <c r="J1021" s="274"/>
    </row>
    <row r="1022" spans="1:10" ht="24" x14ac:dyDescent="0.55000000000000004">
      <c r="A1022" s="270"/>
      <c r="B1022" s="271" t="s">
        <v>635</v>
      </c>
      <c r="C1022" s="271"/>
      <c r="D1022" s="271"/>
      <c r="E1022" s="271"/>
      <c r="F1022" s="272"/>
      <c r="G1022" s="273"/>
      <c r="H1022" s="274"/>
      <c r="I1022" s="275"/>
      <c r="J1022" s="274"/>
    </row>
    <row r="1023" spans="1:10" ht="24" x14ac:dyDescent="0.55000000000000004">
      <c r="A1023" s="270"/>
      <c r="B1023" s="271"/>
      <c r="C1023" s="271"/>
      <c r="D1023" s="271"/>
      <c r="E1023" s="271"/>
      <c r="F1023" s="272"/>
      <c r="G1023" s="273"/>
      <c r="H1023" s="274"/>
      <c r="I1023" s="275"/>
      <c r="J1023" s="274"/>
    </row>
    <row r="1024" spans="1:10" ht="24" x14ac:dyDescent="0.55000000000000004">
      <c r="A1024" s="270"/>
      <c r="B1024" s="271"/>
      <c r="C1024" s="271"/>
      <c r="D1024" s="271"/>
      <c r="E1024" s="271"/>
      <c r="F1024" s="272"/>
      <c r="G1024" s="273"/>
      <c r="H1024" s="274"/>
      <c r="I1024" s="275"/>
      <c r="J1024" s="274"/>
    </row>
    <row r="1025" spans="1:10" ht="24" x14ac:dyDescent="0.55000000000000004">
      <c r="A1025" s="270"/>
      <c r="B1025" s="271"/>
      <c r="C1025" s="271"/>
      <c r="D1025" s="271"/>
      <c r="E1025" s="271"/>
      <c r="F1025" s="272"/>
      <c r="G1025" s="273"/>
      <c r="H1025" s="274"/>
      <c r="I1025" s="275"/>
      <c r="J1025" s="274"/>
    </row>
    <row r="1026" spans="1:10" ht="24" x14ac:dyDescent="0.55000000000000004">
      <c r="A1026" s="270"/>
      <c r="B1026" s="271"/>
      <c r="C1026" s="271"/>
      <c r="D1026" s="271"/>
      <c r="E1026" s="271"/>
      <c r="F1026" s="272"/>
      <c r="G1026" s="273"/>
      <c r="H1026" s="274"/>
      <c r="I1026" s="275"/>
      <c r="J1026" s="274"/>
    </row>
    <row r="1027" spans="1:10" ht="24" x14ac:dyDescent="0.55000000000000004">
      <c r="A1027" s="270"/>
      <c r="B1027" s="271"/>
      <c r="C1027" s="271"/>
      <c r="D1027" s="271"/>
      <c r="E1027" s="271"/>
      <c r="F1027" s="272"/>
      <c r="G1027" s="273"/>
      <c r="H1027" s="274"/>
      <c r="I1027" s="275"/>
      <c r="J1027" s="274"/>
    </row>
    <row r="1028" spans="1:10" ht="24" x14ac:dyDescent="0.55000000000000004">
      <c r="A1028" s="270"/>
      <c r="B1028" s="271"/>
      <c r="C1028" s="271"/>
      <c r="D1028" s="271"/>
      <c r="E1028" s="271"/>
      <c r="F1028" s="272"/>
      <c r="G1028" s="273"/>
      <c r="H1028" s="274"/>
      <c r="I1028" s="275"/>
      <c r="J1028" s="274"/>
    </row>
    <row r="1029" spans="1:10" ht="24" customHeight="1" x14ac:dyDescent="0.55000000000000004">
      <c r="A1029" s="305"/>
      <c r="B1029" s="306"/>
      <c r="C1029" s="306"/>
      <c r="D1029" s="306"/>
      <c r="E1029" s="847" t="s">
        <v>151</v>
      </c>
      <c r="F1029" s="848"/>
      <c r="G1029" s="307"/>
      <c r="H1029" s="299">
        <f>SUM(H1019:H1028)</f>
        <v>0</v>
      </c>
      <c r="I1029" s="299">
        <f>SUM(I1018:I1028)</f>
        <v>5343725.6399999997</v>
      </c>
      <c r="J1029" s="299">
        <f>SUM(J1017:J1028)</f>
        <v>1061725.6399999999</v>
      </c>
    </row>
    <row r="1030" spans="1:10" ht="27" customHeight="1" x14ac:dyDescent="0.55000000000000004">
      <c r="A1030" s="421"/>
      <c r="B1030" s="422"/>
      <c r="C1030" s="422"/>
      <c r="D1030" s="422"/>
      <c r="E1030" s="423" t="s">
        <v>613</v>
      </c>
      <c r="F1030" s="161"/>
      <c r="G1030" s="424"/>
      <c r="H1030" s="426"/>
      <c r="I1030" s="426">
        <f>+I1002+I1029</f>
        <v>23573323</v>
      </c>
      <c r="J1030" s="427">
        <f>+J1002+J1029</f>
        <v>3671738.7</v>
      </c>
    </row>
    <row r="1045" spans="1:10" s="312" customFormat="1" ht="24" x14ac:dyDescent="0.55000000000000004">
      <c r="A1045" s="400" t="s">
        <v>471</v>
      </c>
      <c r="B1045" s="400"/>
      <c r="C1045" s="400"/>
      <c r="D1045" s="400"/>
      <c r="E1045" s="400"/>
      <c r="F1045" s="400" t="s">
        <v>509</v>
      </c>
      <c r="G1045" s="401"/>
      <c r="H1045" s="401"/>
      <c r="I1045" s="258" t="s">
        <v>474</v>
      </c>
      <c r="J1045" s="258"/>
    </row>
    <row r="1046" spans="1:10" s="312" customFormat="1" ht="24" x14ac:dyDescent="0.55000000000000004">
      <c r="A1046" s="400" t="s">
        <v>472</v>
      </c>
      <c r="B1046" s="400"/>
      <c r="C1046" s="400"/>
      <c r="D1046" s="400"/>
      <c r="E1046" s="400"/>
      <c r="F1046" s="400" t="s">
        <v>510</v>
      </c>
      <c r="G1046" s="401"/>
      <c r="H1046" s="401"/>
      <c r="I1046" s="258" t="s">
        <v>473</v>
      </c>
      <c r="J1046" s="258"/>
    </row>
    <row r="1047" spans="1:10" s="312" customFormat="1" ht="24" x14ac:dyDescent="0.55000000000000004">
      <c r="F1047" s="400" t="s">
        <v>475</v>
      </c>
      <c r="G1047" s="401"/>
      <c r="H1047" s="401"/>
      <c r="I1047" s="313"/>
      <c r="J1047" s="313"/>
    </row>
    <row r="1059" spans="1:10" s="259" customFormat="1" ht="24" x14ac:dyDescent="0.55000000000000004">
      <c r="A1059" s="853" t="s">
        <v>76</v>
      </c>
      <c r="B1059" s="853"/>
      <c r="C1059" s="853"/>
      <c r="D1059" s="853"/>
      <c r="E1059" s="853"/>
      <c r="F1059" s="853"/>
      <c r="G1059" s="853"/>
      <c r="H1059" s="853"/>
      <c r="I1059" s="853"/>
      <c r="J1059" s="853"/>
    </row>
    <row r="1060" spans="1:10" s="259" customFormat="1" ht="24" x14ac:dyDescent="0.55000000000000004">
      <c r="A1060" s="853" t="s">
        <v>334</v>
      </c>
      <c r="B1060" s="853"/>
      <c r="C1060" s="853"/>
      <c r="D1060" s="853"/>
      <c r="E1060" s="853"/>
      <c r="F1060" s="853"/>
      <c r="G1060" s="853"/>
      <c r="H1060" s="853"/>
      <c r="I1060" s="853"/>
      <c r="J1060" s="853"/>
    </row>
    <row r="1061" spans="1:10" s="259" customFormat="1" ht="24" x14ac:dyDescent="0.55000000000000004">
      <c r="A1061" s="854" t="s">
        <v>623</v>
      </c>
      <c r="B1061" s="854"/>
      <c r="C1061" s="854"/>
      <c r="D1061" s="854"/>
      <c r="E1061" s="854"/>
      <c r="F1061" s="854"/>
      <c r="G1061" s="854"/>
      <c r="H1061" s="854"/>
      <c r="I1061" s="854"/>
      <c r="J1061" s="854"/>
    </row>
    <row r="1062" spans="1:10" s="259" customFormat="1" ht="24" x14ac:dyDescent="0.55000000000000004">
      <c r="A1062" s="855"/>
      <c r="B1062" s="856"/>
      <c r="C1062" s="856"/>
      <c r="D1062" s="856"/>
      <c r="E1062" s="856"/>
      <c r="F1062" s="857"/>
      <c r="G1062" s="260" t="s">
        <v>78</v>
      </c>
      <c r="H1062" s="260" t="s">
        <v>6</v>
      </c>
      <c r="I1062" s="261" t="s">
        <v>335</v>
      </c>
      <c r="J1062" s="262" t="s">
        <v>336</v>
      </c>
    </row>
    <row r="1063" spans="1:10" s="259" customFormat="1" ht="24" x14ac:dyDescent="0.55000000000000004">
      <c r="A1063" s="263" t="s">
        <v>337</v>
      </c>
      <c r="B1063" s="264"/>
      <c r="C1063" s="265"/>
      <c r="D1063" s="265"/>
      <c r="E1063" s="265"/>
      <c r="F1063" s="266"/>
      <c r="G1063" s="267"/>
      <c r="H1063" s="268"/>
      <c r="I1063" s="269"/>
      <c r="J1063" s="268"/>
    </row>
    <row r="1064" spans="1:10" s="259" customFormat="1" ht="24" x14ac:dyDescent="0.55000000000000004">
      <c r="A1064" s="263" t="s">
        <v>338</v>
      </c>
      <c r="B1064" s="264"/>
      <c r="C1064" s="265"/>
      <c r="D1064" s="265"/>
      <c r="E1064" s="265"/>
      <c r="F1064" s="266"/>
      <c r="G1064" s="267"/>
      <c r="H1064" s="268"/>
      <c r="I1064" s="269"/>
      <c r="J1064" s="268"/>
    </row>
    <row r="1065" spans="1:10" s="259" customFormat="1" ht="24" x14ac:dyDescent="0.55000000000000004">
      <c r="A1065" s="270" t="s">
        <v>339</v>
      </c>
      <c r="B1065" s="271" t="s">
        <v>340</v>
      </c>
      <c r="C1065" s="271"/>
      <c r="D1065" s="271"/>
      <c r="E1065" s="271"/>
      <c r="F1065" s="272"/>
      <c r="G1065" s="273">
        <v>411001</v>
      </c>
      <c r="H1065" s="274">
        <v>3900000</v>
      </c>
      <c r="I1065" s="275">
        <f>187018.1+4119328.13+9180+5575</f>
        <v>4321101.2299999995</v>
      </c>
      <c r="J1065" s="274">
        <v>5575</v>
      </c>
    </row>
    <row r="1066" spans="1:10" s="259" customFormat="1" ht="24" x14ac:dyDescent="0.55000000000000004">
      <c r="A1066" s="270" t="s">
        <v>341</v>
      </c>
      <c r="B1066" s="271" t="s">
        <v>342</v>
      </c>
      <c r="C1066" s="271"/>
      <c r="D1066" s="271"/>
      <c r="E1066" s="271"/>
      <c r="F1066" s="272"/>
      <c r="G1066" s="273">
        <v>411002</v>
      </c>
      <c r="H1066" s="274">
        <v>50000</v>
      </c>
      <c r="I1066" s="275">
        <f>222.3+653.6+2296.15+2449.1+20855.35+16614.55+1774.6</f>
        <v>44865.65</v>
      </c>
      <c r="J1066" s="274">
        <v>1774.6</v>
      </c>
    </row>
    <row r="1067" spans="1:10" s="259" customFormat="1" ht="24" x14ac:dyDescent="0.55000000000000004">
      <c r="A1067" s="270" t="s">
        <v>343</v>
      </c>
      <c r="B1067" s="271" t="s">
        <v>344</v>
      </c>
      <c r="C1067" s="271"/>
      <c r="D1067" s="271"/>
      <c r="E1067" s="271"/>
      <c r="F1067" s="272"/>
      <c r="G1067" s="273">
        <v>411003</v>
      </c>
      <c r="H1067" s="274">
        <v>20000</v>
      </c>
      <c r="I1067" s="275">
        <f>2919+15360+800</f>
        <v>19079</v>
      </c>
      <c r="J1067" s="274"/>
    </row>
    <row r="1068" spans="1:10" s="259" customFormat="1" ht="24" x14ac:dyDescent="0.55000000000000004">
      <c r="A1068" s="270" t="s">
        <v>345</v>
      </c>
      <c r="B1068" s="271" t="s">
        <v>346</v>
      </c>
      <c r="C1068" s="271"/>
      <c r="D1068" s="271"/>
      <c r="E1068" s="271"/>
      <c r="F1068" s="272"/>
      <c r="G1068" s="273">
        <v>411004</v>
      </c>
      <c r="H1068" s="274">
        <v>0</v>
      </c>
      <c r="I1068" s="275">
        <v>0</v>
      </c>
      <c r="J1068" s="274">
        <v>0</v>
      </c>
    </row>
    <row r="1069" spans="1:10" s="259" customFormat="1" ht="24" x14ac:dyDescent="0.55000000000000004">
      <c r="A1069" s="270" t="s">
        <v>347</v>
      </c>
      <c r="B1069" s="271" t="s">
        <v>348</v>
      </c>
      <c r="C1069" s="271"/>
      <c r="D1069" s="271"/>
      <c r="E1069" s="271"/>
      <c r="F1069" s="272"/>
      <c r="G1069" s="273">
        <v>411005</v>
      </c>
      <c r="H1069" s="276">
        <v>100000</v>
      </c>
      <c r="I1069" s="277">
        <f>24629.02+645270.57+50322.79</f>
        <v>720222.38</v>
      </c>
      <c r="J1069" s="276">
        <v>0</v>
      </c>
    </row>
    <row r="1070" spans="1:10" s="259" customFormat="1" ht="24" x14ac:dyDescent="0.55000000000000004">
      <c r="A1070" s="270"/>
      <c r="B1070" s="271"/>
      <c r="C1070" s="271"/>
      <c r="D1070" s="271"/>
      <c r="E1070" s="271"/>
      <c r="F1070" s="272"/>
      <c r="G1070" s="273"/>
      <c r="H1070" s="299">
        <f>SUM(H1065:H1069)</f>
        <v>4070000</v>
      </c>
      <c r="I1070" s="300">
        <f>SUM(I1065:I1069)</f>
        <v>5105268.26</v>
      </c>
      <c r="J1070" s="299">
        <f>SUM(J1065:J1069)</f>
        <v>7349.6</v>
      </c>
    </row>
    <row r="1071" spans="1:10" s="259" customFormat="1" ht="24" x14ac:dyDescent="0.55000000000000004">
      <c r="A1071" s="263" t="s">
        <v>349</v>
      </c>
      <c r="B1071" s="278"/>
      <c r="C1071" s="278"/>
      <c r="D1071" s="278"/>
      <c r="E1071" s="279"/>
      <c r="F1071" s="280"/>
      <c r="G1071" s="281"/>
      <c r="H1071" s="282"/>
      <c r="I1071" s="283"/>
      <c r="J1071" s="268"/>
    </row>
    <row r="1072" spans="1:10" s="259" customFormat="1" ht="24" x14ac:dyDescent="0.55000000000000004">
      <c r="A1072" s="270" t="s">
        <v>339</v>
      </c>
      <c r="B1072" s="271" t="s">
        <v>350</v>
      </c>
      <c r="C1072" s="284"/>
      <c r="D1072" s="284"/>
      <c r="E1072" s="284"/>
      <c r="F1072" s="285"/>
      <c r="G1072" s="286">
        <v>412103</v>
      </c>
      <c r="H1072" s="287">
        <v>500</v>
      </c>
      <c r="I1072" s="288">
        <f>77.6+19.4+155.2+252.2+213.4+213.4</f>
        <v>931.19999999999993</v>
      </c>
      <c r="J1072" s="274">
        <v>19.399999999999999</v>
      </c>
    </row>
    <row r="1073" spans="1:11" s="259" customFormat="1" ht="24" x14ac:dyDescent="0.55000000000000004">
      <c r="A1073" s="270" t="s">
        <v>341</v>
      </c>
      <c r="B1073" s="271" t="s">
        <v>351</v>
      </c>
      <c r="C1073" s="284"/>
      <c r="D1073" s="284"/>
      <c r="E1073" s="284"/>
      <c r="F1073" s="285"/>
      <c r="G1073" s="286">
        <v>412104</v>
      </c>
      <c r="H1073" s="287">
        <v>500</v>
      </c>
      <c r="I1073" s="288"/>
      <c r="J1073" s="274"/>
    </row>
    <row r="1074" spans="1:11" s="259" customFormat="1" ht="24" x14ac:dyDescent="0.55000000000000004">
      <c r="A1074" s="270" t="s">
        <v>343</v>
      </c>
      <c r="B1074" s="271" t="s">
        <v>352</v>
      </c>
      <c r="C1074" s="284"/>
      <c r="D1074" s="284"/>
      <c r="E1074" s="284"/>
      <c r="F1074" s="285"/>
      <c r="G1074" s="286">
        <v>4120106</v>
      </c>
      <c r="H1074" s="287">
        <v>20000</v>
      </c>
      <c r="I1074" s="288">
        <f>292+24+164+2398+65+136+181</f>
        <v>3260</v>
      </c>
      <c r="J1074" s="274">
        <v>181</v>
      </c>
    </row>
    <row r="1075" spans="1:11" s="259" customFormat="1" ht="24" x14ac:dyDescent="0.55000000000000004">
      <c r="A1075" s="270" t="s">
        <v>345</v>
      </c>
      <c r="B1075" s="271" t="s">
        <v>456</v>
      </c>
      <c r="C1075" s="284"/>
      <c r="D1075" s="284"/>
      <c r="E1075" s="284"/>
      <c r="F1075" s="285"/>
      <c r="G1075" s="286"/>
      <c r="H1075" s="287">
        <v>500</v>
      </c>
      <c r="I1075" s="288"/>
      <c r="J1075" s="274"/>
    </row>
    <row r="1076" spans="1:11" s="259" customFormat="1" ht="24" x14ac:dyDescent="0.55000000000000004">
      <c r="A1076" s="270" t="s">
        <v>347</v>
      </c>
      <c r="B1076" s="271" t="s">
        <v>457</v>
      </c>
      <c r="C1076" s="284"/>
      <c r="D1076" s="284"/>
      <c r="E1076" s="284"/>
      <c r="F1076" s="285"/>
      <c r="G1076" s="286"/>
      <c r="H1076" s="287">
        <v>500</v>
      </c>
      <c r="I1076" s="288"/>
      <c r="J1076" s="274"/>
    </row>
    <row r="1077" spans="1:11" s="259" customFormat="1" ht="24" x14ac:dyDescent="0.55000000000000004">
      <c r="A1077" s="270"/>
      <c r="B1077" s="271" t="s">
        <v>458</v>
      </c>
      <c r="C1077" s="284"/>
      <c r="D1077" s="284"/>
      <c r="E1077" s="284"/>
      <c r="F1077" s="285"/>
      <c r="G1077" s="286"/>
      <c r="H1077" s="287"/>
      <c r="I1077" s="288"/>
      <c r="J1077" s="274"/>
    </row>
    <row r="1078" spans="1:11" s="259" customFormat="1" ht="24" x14ac:dyDescent="0.55000000000000004">
      <c r="A1078" s="270" t="s">
        <v>355</v>
      </c>
      <c r="B1078" s="271" t="s">
        <v>459</v>
      </c>
      <c r="C1078" s="284"/>
      <c r="D1078" s="284"/>
      <c r="E1078" s="284"/>
      <c r="F1078" s="285"/>
      <c r="G1078" s="286"/>
      <c r="H1078" s="287">
        <v>500</v>
      </c>
      <c r="I1078" s="288"/>
      <c r="J1078" s="274"/>
    </row>
    <row r="1079" spans="1:11" s="259" customFormat="1" ht="24" x14ac:dyDescent="0.55000000000000004">
      <c r="A1079" s="270"/>
      <c r="B1079" s="271" t="s">
        <v>460</v>
      </c>
      <c r="C1079" s="284"/>
      <c r="D1079" s="284"/>
      <c r="E1079" s="284"/>
      <c r="F1079" s="285"/>
      <c r="G1079" s="286"/>
      <c r="H1079" s="287"/>
      <c r="I1079" s="288"/>
      <c r="J1079" s="274"/>
    </row>
    <row r="1080" spans="1:11" s="289" customFormat="1" ht="24" x14ac:dyDescent="0.55000000000000004">
      <c r="A1080" s="290" t="s">
        <v>357</v>
      </c>
      <c r="B1080" s="271" t="s">
        <v>353</v>
      </c>
      <c r="C1080" s="271"/>
      <c r="D1080" s="271"/>
      <c r="E1080" s="271"/>
      <c r="F1080" s="272"/>
      <c r="G1080" s="286">
        <v>412128</v>
      </c>
      <c r="H1080" s="274">
        <v>1000</v>
      </c>
      <c r="I1080" s="275">
        <f>50+50+50+100+50+70</f>
        <v>370</v>
      </c>
      <c r="J1080" s="274"/>
    </row>
    <row r="1081" spans="1:11" s="289" customFormat="1" ht="24" x14ac:dyDescent="0.55000000000000004">
      <c r="A1081" s="290" t="s">
        <v>359</v>
      </c>
      <c r="B1081" s="271" t="s">
        <v>461</v>
      </c>
      <c r="C1081" s="271"/>
      <c r="D1081" s="271"/>
      <c r="E1081" s="271"/>
      <c r="F1081" s="272"/>
      <c r="G1081" s="286"/>
      <c r="H1081" s="274">
        <v>500</v>
      </c>
      <c r="I1081" s="275"/>
      <c r="J1081" s="274"/>
      <c r="K1081" s="289">
        <v>1</v>
      </c>
    </row>
    <row r="1082" spans="1:11" s="289" customFormat="1" ht="24" x14ac:dyDescent="0.55000000000000004">
      <c r="A1082" s="270" t="s">
        <v>361</v>
      </c>
      <c r="B1082" s="271" t="s">
        <v>354</v>
      </c>
      <c r="C1082" s="271"/>
      <c r="D1082" s="271"/>
      <c r="E1082" s="271"/>
      <c r="F1082" s="272"/>
      <c r="G1082" s="286">
        <v>412199</v>
      </c>
      <c r="H1082" s="274">
        <v>1500</v>
      </c>
      <c r="I1082" s="275">
        <f>200+10+10+20+20</f>
        <v>260</v>
      </c>
      <c r="J1082" s="274">
        <v>20</v>
      </c>
    </row>
    <row r="1083" spans="1:11" s="289" customFormat="1" ht="24" x14ac:dyDescent="0.55000000000000004">
      <c r="A1083" s="270" t="s">
        <v>363</v>
      </c>
      <c r="B1083" s="271" t="s">
        <v>356</v>
      </c>
      <c r="C1083" s="271"/>
      <c r="D1083" s="271"/>
      <c r="E1083" s="271"/>
      <c r="F1083" s="272"/>
      <c r="G1083" s="286"/>
      <c r="H1083" s="274">
        <v>1500</v>
      </c>
      <c r="I1083" s="275">
        <f>200+650+200+450</f>
        <v>1500</v>
      </c>
      <c r="J1083" s="274"/>
    </row>
    <row r="1084" spans="1:11" s="289" customFormat="1" ht="24" x14ac:dyDescent="0.55000000000000004">
      <c r="A1084" s="270" t="s">
        <v>365</v>
      </c>
      <c r="B1084" s="271" t="s">
        <v>358</v>
      </c>
      <c r="C1084" s="271"/>
      <c r="D1084" s="271"/>
      <c r="E1084" s="271"/>
      <c r="F1084" s="272"/>
      <c r="G1084" s="286"/>
      <c r="H1084" s="274">
        <v>50000</v>
      </c>
      <c r="I1084" s="275">
        <v>84320</v>
      </c>
      <c r="J1084" s="274"/>
    </row>
    <row r="1085" spans="1:11" s="289" customFormat="1" ht="24" x14ac:dyDescent="0.55000000000000004">
      <c r="A1085" s="270" t="s">
        <v>367</v>
      </c>
      <c r="B1085" s="271" t="s">
        <v>360</v>
      </c>
      <c r="C1085" s="271"/>
      <c r="D1085" s="271"/>
      <c r="E1085" s="271"/>
      <c r="F1085" s="272"/>
      <c r="G1085" s="286">
        <v>412211</v>
      </c>
      <c r="H1085" s="274">
        <v>500</v>
      </c>
      <c r="I1085" s="275"/>
      <c r="J1085" s="274"/>
    </row>
    <row r="1086" spans="1:11" s="291" customFormat="1" ht="24" x14ac:dyDescent="0.55000000000000004">
      <c r="A1086" s="270" t="s">
        <v>369</v>
      </c>
      <c r="B1086" s="291" t="s">
        <v>362</v>
      </c>
      <c r="F1086" s="292"/>
      <c r="G1086" s="293">
        <v>412299</v>
      </c>
      <c r="H1086" s="294">
        <v>500</v>
      </c>
      <c r="I1086" s="295"/>
      <c r="J1086" s="294"/>
    </row>
    <row r="1087" spans="1:11" s="265" customFormat="1" ht="24" x14ac:dyDescent="0.55000000000000004">
      <c r="A1087" s="270" t="s">
        <v>371</v>
      </c>
      <c r="B1087" s="291" t="s">
        <v>462</v>
      </c>
      <c r="C1087" s="291"/>
      <c r="D1087" s="291"/>
      <c r="E1087" s="291"/>
      <c r="F1087" s="292"/>
      <c r="G1087" s="293"/>
      <c r="H1087" s="294">
        <v>500</v>
      </c>
      <c r="I1087" s="295"/>
      <c r="J1087" s="294"/>
    </row>
    <row r="1088" spans="1:11" s="289" customFormat="1" ht="24" x14ac:dyDescent="0.55000000000000004">
      <c r="A1088" s="270" t="s">
        <v>373</v>
      </c>
      <c r="B1088" s="291" t="s">
        <v>364</v>
      </c>
      <c r="C1088" s="291"/>
      <c r="D1088" s="291"/>
      <c r="E1088" s="291"/>
      <c r="F1088" s="292"/>
      <c r="G1088" s="296">
        <v>412303</v>
      </c>
      <c r="H1088" s="294">
        <v>500</v>
      </c>
      <c r="I1088" s="295">
        <v>100</v>
      </c>
      <c r="J1088" s="294"/>
    </row>
    <row r="1089" spans="1:10" s="289" customFormat="1" ht="24" x14ac:dyDescent="0.55000000000000004">
      <c r="A1089" s="270" t="s">
        <v>463</v>
      </c>
      <c r="B1089" s="271" t="s">
        <v>366</v>
      </c>
      <c r="C1089" s="271"/>
      <c r="D1089" s="271"/>
      <c r="E1089" s="271"/>
      <c r="F1089" s="272"/>
      <c r="G1089" s="273">
        <v>412304</v>
      </c>
      <c r="H1089" s="274">
        <v>500</v>
      </c>
      <c r="I1089" s="275"/>
      <c r="J1089" s="274"/>
    </row>
    <row r="1090" spans="1:10" s="289" customFormat="1" ht="24" x14ac:dyDescent="0.55000000000000004">
      <c r="A1090" s="270" t="s">
        <v>464</v>
      </c>
      <c r="B1090" s="271" t="s">
        <v>368</v>
      </c>
      <c r="C1090" s="271"/>
      <c r="D1090" s="271"/>
      <c r="E1090" s="271"/>
      <c r="F1090" s="272"/>
      <c r="G1090" s="273">
        <v>412305</v>
      </c>
      <c r="H1090" s="274">
        <v>500</v>
      </c>
      <c r="I1090" s="275"/>
      <c r="J1090" s="274"/>
    </row>
    <row r="1091" spans="1:10" s="289" customFormat="1" ht="24" x14ac:dyDescent="0.55000000000000004">
      <c r="A1091" s="270" t="s">
        <v>465</v>
      </c>
      <c r="B1091" s="271" t="s">
        <v>370</v>
      </c>
      <c r="C1091" s="271"/>
      <c r="D1091" s="271"/>
      <c r="E1091" s="271"/>
      <c r="F1091" s="272"/>
      <c r="G1091" s="273">
        <v>412306</v>
      </c>
      <c r="H1091" s="276">
        <v>500</v>
      </c>
      <c r="I1091" s="277"/>
      <c r="J1091" s="274"/>
    </row>
    <row r="1092" spans="1:10" s="289" customFormat="1" ht="24" x14ac:dyDescent="0.55000000000000004">
      <c r="A1092" s="270" t="s">
        <v>466</v>
      </c>
      <c r="B1092" s="271" t="s">
        <v>372</v>
      </c>
      <c r="C1092" s="271"/>
      <c r="D1092" s="271"/>
      <c r="E1092" s="271"/>
      <c r="F1092" s="272"/>
      <c r="G1092" s="273">
        <v>412307</v>
      </c>
      <c r="H1092" s="276">
        <v>2000</v>
      </c>
      <c r="I1092" s="277">
        <f>20+20+40+80+20+60+40</f>
        <v>280</v>
      </c>
      <c r="J1092" s="274">
        <v>40</v>
      </c>
    </row>
    <row r="1093" spans="1:10" s="289" customFormat="1" ht="24" x14ac:dyDescent="0.55000000000000004">
      <c r="A1093" s="270" t="s">
        <v>467</v>
      </c>
      <c r="B1093" s="271" t="s">
        <v>374</v>
      </c>
      <c r="C1093" s="271"/>
      <c r="D1093" s="271"/>
      <c r="E1093" s="271"/>
      <c r="F1093" s="272"/>
      <c r="G1093" s="273">
        <v>412399</v>
      </c>
      <c r="H1093" s="276">
        <v>500</v>
      </c>
      <c r="I1093" s="277">
        <f>70+30+20+500+500</f>
        <v>1120</v>
      </c>
      <c r="J1093" s="268"/>
    </row>
    <row r="1094" spans="1:10" s="289" customFormat="1" ht="24" x14ac:dyDescent="0.55000000000000004">
      <c r="A1094" s="305"/>
      <c r="B1094" s="306"/>
      <c r="C1094" s="306"/>
      <c r="D1094" s="306"/>
      <c r="E1094" s="847"/>
      <c r="F1094" s="848"/>
      <c r="G1094" s="396"/>
      <c r="H1094" s="299">
        <f>SUM(H1072:H1093)</f>
        <v>83000</v>
      </c>
      <c r="I1094" s="300">
        <f>SUM(I1072:I1093)</f>
        <v>92141.2</v>
      </c>
      <c r="J1094" s="299">
        <f>SUM(J1072:J1093)</f>
        <v>260.39999999999998</v>
      </c>
    </row>
    <row r="1099" spans="1:10" s="289" customFormat="1" ht="24" x14ac:dyDescent="0.55000000000000004">
      <c r="A1099" s="858" t="s">
        <v>455</v>
      </c>
      <c r="B1099" s="858"/>
      <c r="C1099" s="858"/>
      <c r="D1099" s="858"/>
      <c r="E1099" s="858"/>
      <c r="F1099" s="858"/>
      <c r="G1099" s="858"/>
      <c r="H1099" s="858"/>
      <c r="I1099" s="858"/>
      <c r="J1099" s="858"/>
    </row>
    <row r="1100" spans="1:10" s="289" customFormat="1" ht="24" x14ac:dyDescent="0.55000000000000004">
      <c r="A1100" s="395"/>
      <c r="B1100" s="395"/>
      <c r="C1100" s="395"/>
      <c r="D1100" s="395"/>
      <c r="E1100" s="395"/>
      <c r="F1100" s="395"/>
      <c r="G1100" s="395"/>
      <c r="H1100" s="395"/>
      <c r="I1100" s="395"/>
      <c r="J1100" s="395"/>
    </row>
    <row r="1101" spans="1:10" s="259" customFormat="1" ht="24" x14ac:dyDescent="0.55000000000000004">
      <c r="A1101" s="855"/>
      <c r="B1101" s="856"/>
      <c r="C1101" s="856"/>
      <c r="D1101" s="856"/>
      <c r="E1101" s="856"/>
      <c r="F1101" s="857"/>
      <c r="G1101" s="260" t="s">
        <v>78</v>
      </c>
      <c r="H1101" s="260" t="s">
        <v>6</v>
      </c>
      <c r="I1101" s="261" t="s">
        <v>335</v>
      </c>
      <c r="J1101" s="262" t="s">
        <v>336</v>
      </c>
    </row>
    <row r="1102" spans="1:10" s="289" customFormat="1" ht="24" x14ac:dyDescent="0.55000000000000004">
      <c r="A1102" s="301" t="s">
        <v>375</v>
      </c>
      <c r="B1102" s="302"/>
      <c r="C1102" s="302"/>
      <c r="D1102" s="271"/>
      <c r="E1102" s="271"/>
      <c r="F1102" s="272"/>
      <c r="G1102" s="298"/>
      <c r="H1102" s="268"/>
      <c r="I1102" s="269"/>
      <c r="J1102" s="268"/>
    </row>
    <row r="1103" spans="1:10" s="289" customFormat="1" ht="24" x14ac:dyDescent="0.55000000000000004">
      <c r="A1103" s="270" t="s">
        <v>339</v>
      </c>
      <c r="B1103" s="271" t="s">
        <v>376</v>
      </c>
      <c r="C1103" s="271"/>
      <c r="D1103" s="271"/>
      <c r="E1103" s="271"/>
      <c r="F1103" s="272"/>
      <c r="G1103" s="273">
        <v>413003</v>
      </c>
      <c r="H1103" s="276">
        <v>100000</v>
      </c>
      <c r="I1103" s="277">
        <f>33122.75+16284.37</f>
        <v>49407.12</v>
      </c>
      <c r="J1103" s="274"/>
    </row>
    <row r="1104" spans="1:10" s="259" customFormat="1" ht="24" x14ac:dyDescent="0.55000000000000004">
      <c r="A1104" s="270" t="s">
        <v>341</v>
      </c>
      <c r="B1104" s="271" t="s">
        <v>377</v>
      </c>
      <c r="C1104" s="271"/>
      <c r="D1104" s="271"/>
      <c r="E1104" s="271"/>
      <c r="F1104" s="272"/>
      <c r="G1104" s="273">
        <v>413999</v>
      </c>
      <c r="H1104" s="276">
        <v>10000</v>
      </c>
      <c r="I1104" s="277">
        <v>0</v>
      </c>
      <c r="J1104" s="268">
        <v>0</v>
      </c>
    </row>
    <row r="1105" spans="1:11" s="259" customFormat="1" ht="24" x14ac:dyDescent="0.55000000000000004">
      <c r="A1105" s="270"/>
      <c r="B1105" s="271"/>
      <c r="C1105" s="271"/>
      <c r="D1105" s="271"/>
      <c r="E1105" s="271"/>
      <c r="F1105" s="272"/>
      <c r="G1105" s="273"/>
      <c r="H1105" s="299">
        <f>SUM(H1103:H1104)</f>
        <v>110000</v>
      </c>
      <c r="I1105" s="300">
        <f>SUM(I1103:I1104)</f>
        <v>49407.12</v>
      </c>
      <c r="J1105" s="299">
        <f>SUM(J1103:J1104)</f>
        <v>0</v>
      </c>
    </row>
    <row r="1106" spans="1:11" s="289" customFormat="1" ht="24" x14ac:dyDescent="0.55000000000000004">
      <c r="A1106" s="301" t="s">
        <v>378</v>
      </c>
      <c r="B1106" s="302"/>
      <c r="C1106" s="302"/>
      <c r="D1106" s="302"/>
      <c r="E1106" s="302"/>
      <c r="F1106" s="272"/>
      <c r="G1106" s="298"/>
      <c r="H1106" s="268"/>
      <c r="I1106" s="269"/>
      <c r="J1106" s="268"/>
    </row>
    <row r="1107" spans="1:11" s="289" customFormat="1" ht="24" x14ac:dyDescent="0.55000000000000004">
      <c r="A1107" s="270" t="s">
        <v>339</v>
      </c>
      <c r="B1107" s="271" t="s">
        <v>21</v>
      </c>
      <c r="C1107" s="271"/>
      <c r="D1107" s="271"/>
      <c r="E1107" s="271"/>
      <c r="F1107" s="272"/>
      <c r="G1107" s="273">
        <v>414006</v>
      </c>
      <c r="H1107" s="274">
        <v>1000000</v>
      </c>
      <c r="I1107" s="275">
        <f>41213+40907+47749+76891+68560+118069+65793+43770</f>
        <v>502952</v>
      </c>
      <c r="J1107" s="274">
        <v>43770</v>
      </c>
    </row>
    <row r="1108" spans="1:11" s="289" customFormat="1" ht="24" x14ac:dyDescent="0.55000000000000004">
      <c r="A1108" s="270" t="s">
        <v>341</v>
      </c>
      <c r="B1108" s="271" t="s">
        <v>379</v>
      </c>
      <c r="C1108" s="271"/>
      <c r="D1108" s="271"/>
      <c r="E1108" s="271"/>
      <c r="F1108" s="272"/>
      <c r="G1108" s="273">
        <v>414999</v>
      </c>
      <c r="H1108" s="268">
        <v>5000</v>
      </c>
      <c r="I1108" s="269">
        <f>200+200+200+400+200+400+400+200</f>
        <v>2200</v>
      </c>
      <c r="J1108" s="303">
        <v>200</v>
      </c>
    </row>
    <row r="1109" spans="1:11" s="289" customFormat="1" ht="24" x14ac:dyDescent="0.55000000000000004">
      <c r="A1109" s="391"/>
      <c r="B1109" s="392"/>
      <c r="C1109" s="392"/>
      <c r="D1109" s="392"/>
      <c r="E1109" s="859" t="s">
        <v>151</v>
      </c>
      <c r="F1109" s="860"/>
      <c r="G1109" s="393"/>
      <c r="H1109" s="299">
        <f>SUM(H1107:H1108)</f>
        <v>1005000</v>
      </c>
      <c r="I1109" s="300">
        <f>SUM(I1107:I1108)</f>
        <v>505152</v>
      </c>
      <c r="J1109" s="299">
        <f>SUM(J1107:J1108)</f>
        <v>43970</v>
      </c>
    </row>
    <row r="1110" spans="1:11" s="289" customFormat="1" ht="24" x14ac:dyDescent="0.55000000000000004">
      <c r="A1110" s="301" t="s">
        <v>380</v>
      </c>
      <c r="B1110" s="302"/>
      <c r="C1110" s="302"/>
      <c r="D1110" s="271"/>
      <c r="E1110" s="271"/>
      <c r="F1110" s="272"/>
      <c r="G1110" s="298"/>
      <c r="H1110" s="268"/>
      <c r="I1110" s="269"/>
      <c r="J1110" s="268"/>
    </row>
    <row r="1111" spans="1:11" s="289" customFormat="1" ht="24" x14ac:dyDescent="0.55000000000000004">
      <c r="A1111" s="270" t="s">
        <v>339</v>
      </c>
      <c r="B1111" s="271" t="s">
        <v>381</v>
      </c>
      <c r="C1111" s="271"/>
      <c r="D1111" s="271"/>
      <c r="E1111" s="271"/>
      <c r="F1111" s="272"/>
      <c r="G1111" s="273">
        <v>415004</v>
      </c>
      <c r="H1111" s="274">
        <v>80000</v>
      </c>
      <c r="I1111" s="277">
        <f>3000+7200+1800+4500</f>
        <v>16500</v>
      </c>
      <c r="J1111" s="274">
        <v>4500</v>
      </c>
      <c r="K1111" s="289">
        <v>2</v>
      </c>
    </row>
    <row r="1112" spans="1:11" s="289" customFormat="1" ht="24" x14ac:dyDescent="0.55000000000000004">
      <c r="A1112" s="270" t="s">
        <v>341</v>
      </c>
      <c r="B1112" s="271" t="s">
        <v>382</v>
      </c>
      <c r="C1112" s="271"/>
      <c r="D1112" s="271"/>
      <c r="E1112" s="271"/>
      <c r="F1112" s="272"/>
      <c r="G1112" s="273">
        <v>415999</v>
      </c>
      <c r="H1112" s="276">
        <v>10000</v>
      </c>
      <c r="I1112" s="277">
        <f>500+376417.34</f>
        <v>376917.34</v>
      </c>
      <c r="J1112" s="268"/>
    </row>
    <row r="1113" spans="1:11" s="289" customFormat="1" ht="24" x14ac:dyDescent="0.55000000000000004">
      <c r="A1113" s="270"/>
      <c r="B1113" s="271"/>
      <c r="C1113" s="271"/>
      <c r="D1113" s="271"/>
      <c r="E1113" s="271"/>
      <c r="F1113" s="272"/>
      <c r="G1113" s="273"/>
      <c r="H1113" s="299">
        <f>SUM(H1111:H1112)</f>
        <v>90000</v>
      </c>
      <c r="I1113" s="300">
        <f>SUM(I1111:I1112)</f>
        <v>393417.34</v>
      </c>
      <c r="J1113" s="299">
        <f>SUM(J1111:J1112)</f>
        <v>4500</v>
      </c>
    </row>
    <row r="1114" spans="1:11" s="289" customFormat="1" ht="24" x14ac:dyDescent="0.55000000000000004">
      <c r="A1114" s="301" t="s">
        <v>383</v>
      </c>
      <c r="B1114" s="302"/>
      <c r="C1114" s="302"/>
      <c r="D1114" s="271"/>
      <c r="E1114" s="271"/>
      <c r="F1114" s="272"/>
      <c r="G1114" s="298"/>
      <c r="H1114" s="268"/>
      <c r="I1114" s="269"/>
      <c r="J1114" s="268"/>
    </row>
    <row r="1115" spans="1:11" s="289" customFormat="1" ht="24" x14ac:dyDescent="0.55000000000000004">
      <c r="A1115" s="270" t="s">
        <v>339</v>
      </c>
      <c r="B1115" s="271" t="s">
        <v>384</v>
      </c>
      <c r="C1115" s="271"/>
      <c r="D1115" s="271"/>
      <c r="E1115" s="271"/>
      <c r="F1115" s="272"/>
      <c r="G1115" s="273">
        <v>416001</v>
      </c>
      <c r="H1115" s="274">
        <v>2000</v>
      </c>
      <c r="I1115" s="277">
        <v>3665</v>
      </c>
      <c r="J1115" s="274">
        <v>0</v>
      </c>
    </row>
    <row r="1116" spans="1:11" s="289" customFormat="1" ht="24" x14ac:dyDescent="0.55000000000000004">
      <c r="A1116" s="270" t="s">
        <v>341</v>
      </c>
      <c r="B1116" s="271" t="s">
        <v>385</v>
      </c>
      <c r="C1116" s="271"/>
      <c r="D1116" s="271"/>
      <c r="E1116" s="271"/>
      <c r="F1116" s="272"/>
      <c r="G1116" s="273">
        <v>416999</v>
      </c>
      <c r="H1116" s="276">
        <v>0</v>
      </c>
      <c r="I1116" s="277">
        <v>0</v>
      </c>
      <c r="J1116" s="268">
        <v>0</v>
      </c>
    </row>
    <row r="1117" spans="1:11" s="289" customFormat="1" ht="24" x14ac:dyDescent="0.55000000000000004">
      <c r="A1117" s="270"/>
      <c r="B1117" s="271"/>
      <c r="C1117" s="271"/>
      <c r="D1117" s="271"/>
      <c r="E1117" s="271"/>
      <c r="F1117" s="272"/>
      <c r="G1117" s="273"/>
      <c r="H1117" s="299">
        <f>SUM(H1115:H1116)</f>
        <v>2000</v>
      </c>
      <c r="I1117" s="300">
        <f>SUM(I1115:I1116)</f>
        <v>3665</v>
      </c>
      <c r="J1117" s="299">
        <f>SUM(J1115:J1116)</f>
        <v>0</v>
      </c>
    </row>
    <row r="1118" spans="1:11" s="289" customFormat="1" ht="24" x14ac:dyDescent="0.55000000000000004">
      <c r="A1118" s="304" t="s">
        <v>386</v>
      </c>
      <c r="B1118" s="271"/>
      <c r="C1118" s="271"/>
      <c r="D1118" s="271"/>
      <c r="E1118" s="271"/>
      <c r="F1118" s="272"/>
      <c r="G1118" s="273"/>
      <c r="H1118" s="268"/>
      <c r="I1118" s="269"/>
      <c r="J1118" s="268"/>
    </row>
    <row r="1119" spans="1:11" s="259" customFormat="1" ht="24" x14ac:dyDescent="0.55000000000000004">
      <c r="A1119" s="270" t="s">
        <v>339</v>
      </c>
      <c r="B1119" s="271" t="s">
        <v>387</v>
      </c>
      <c r="C1119" s="271"/>
      <c r="D1119" s="271"/>
      <c r="E1119" s="271"/>
      <c r="F1119" s="272"/>
      <c r="G1119" s="273">
        <v>421002</v>
      </c>
      <c r="H1119" s="274">
        <v>7000000</v>
      </c>
      <c r="I1119" s="274">
        <f>576013.89+578421.62+586350.36+110502.39+605668.57+625606.99+622485.21+626432.16</f>
        <v>4331481.1900000004</v>
      </c>
      <c r="J1119" s="274">
        <v>622485.21</v>
      </c>
    </row>
    <row r="1120" spans="1:11" s="259" customFormat="1" ht="24" x14ac:dyDescent="0.55000000000000004">
      <c r="A1120" s="270" t="s">
        <v>341</v>
      </c>
      <c r="B1120" s="271" t="s">
        <v>388</v>
      </c>
      <c r="C1120" s="271"/>
      <c r="D1120" s="271"/>
      <c r="E1120" s="271"/>
      <c r="F1120" s="272"/>
      <c r="G1120" s="273">
        <v>421004</v>
      </c>
      <c r="H1120" s="274">
        <v>1500000</v>
      </c>
      <c r="I1120" s="274">
        <f>113953.78+131505.43+128502.61+128239.4+124886.95+141721.59</f>
        <v>768809.75999999989</v>
      </c>
      <c r="J1120" s="274">
        <v>141721.59</v>
      </c>
    </row>
    <row r="1121" spans="1:10" s="259" customFormat="1" ht="24" x14ac:dyDescent="0.55000000000000004">
      <c r="A1121" s="270" t="s">
        <v>343</v>
      </c>
      <c r="B1121" s="271" t="s">
        <v>389</v>
      </c>
      <c r="C1121" s="271"/>
      <c r="D1121" s="271"/>
      <c r="E1121" s="271"/>
      <c r="F1121" s="272"/>
      <c r="G1121" s="273">
        <v>421005</v>
      </c>
      <c r="H1121" s="274">
        <v>100000</v>
      </c>
      <c r="I1121" s="274">
        <f>2747.3+3451.03+11616.96+6332.98+5128.71</f>
        <v>29276.98</v>
      </c>
      <c r="J1121" s="274">
        <v>5128.71</v>
      </c>
    </row>
    <row r="1122" spans="1:10" s="259" customFormat="1" ht="24" x14ac:dyDescent="0.55000000000000004">
      <c r="A1122" s="270" t="s">
        <v>345</v>
      </c>
      <c r="B1122" s="271" t="s">
        <v>390</v>
      </c>
      <c r="C1122" s="271"/>
      <c r="D1122" s="271"/>
      <c r="E1122" s="271"/>
      <c r="F1122" s="272"/>
      <c r="G1122" s="273">
        <v>421006</v>
      </c>
      <c r="H1122" s="274">
        <v>700000</v>
      </c>
      <c r="I1122" s="274">
        <f>47274.97+53800.47+56240.22+68576.03+61149.91+92271.74</f>
        <v>379313.33999999997</v>
      </c>
      <c r="J1122" s="274">
        <v>92271.74</v>
      </c>
    </row>
    <row r="1123" spans="1:10" s="259" customFormat="1" ht="24" x14ac:dyDescent="0.55000000000000004">
      <c r="A1123" s="270" t="s">
        <v>347</v>
      </c>
      <c r="B1123" s="271" t="s">
        <v>391</v>
      </c>
      <c r="C1123" s="271"/>
      <c r="D1123" s="271"/>
      <c r="E1123" s="271"/>
      <c r="F1123" s="272"/>
      <c r="G1123" s="273">
        <v>421007</v>
      </c>
      <c r="H1123" s="274">
        <v>1000000</v>
      </c>
      <c r="I1123" s="275">
        <f>102069.72+113369.21+155.2+106077+125885.21+147366.97+141805.55-155.2-252.2-213.4-213.4</f>
        <v>735894.66000000015</v>
      </c>
      <c r="J1123" s="274">
        <v>141805.54999999999</v>
      </c>
    </row>
    <row r="1124" spans="1:10" s="259" customFormat="1" ht="24" x14ac:dyDescent="0.55000000000000004">
      <c r="A1124" s="270" t="s">
        <v>355</v>
      </c>
      <c r="B1124" s="271" t="s">
        <v>468</v>
      </c>
      <c r="C1124" s="271"/>
      <c r="D1124" s="271"/>
      <c r="E1124" s="271"/>
      <c r="F1124" s="272"/>
      <c r="G1124" s="273">
        <v>421011</v>
      </c>
      <c r="H1124" s="274">
        <v>10000</v>
      </c>
      <c r="I1124" s="275"/>
      <c r="J1124" s="274"/>
    </row>
    <row r="1125" spans="1:10" s="259" customFormat="1" ht="24" x14ac:dyDescent="0.55000000000000004">
      <c r="A1125" s="290" t="s">
        <v>357</v>
      </c>
      <c r="B1125" s="259" t="s">
        <v>392</v>
      </c>
      <c r="G1125" s="273">
        <v>421012</v>
      </c>
      <c r="H1125" s="274">
        <v>30000</v>
      </c>
      <c r="I1125" s="275">
        <v>4875.42</v>
      </c>
      <c r="J1125" s="274"/>
    </row>
    <row r="1126" spans="1:10" s="259" customFormat="1" ht="24" x14ac:dyDescent="0.55000000000000004">
      <c r="A1126" s="290" t="s">
        <v>359</v>
      </c>
      <c r="B1126" s="271" t="s">
        <v>393</v>
      </c>
      <c r="C1126" s="271"/>
      <c r="D1126" s="271"/>
      <c r="E1126" s="271"/>
      <c r="F1126" s="272"/>
      <c r="G1126" s="273">
        <v>421013</v>
      </c>
      <c r="H1126" s="274">
        <v>40000</v>
      </c>
      <c r="I1126" s="275">
        <f>7014.11+6835.44+5210.71</f>
        <v>19060.259999999998</v>
      </c>
      <c r="J1126" s="274">
        <v>5210.71</v>
      </c>
    </row>
    <row r="1127" spans="1:10" s="259" customFormat="1" ht="24" x14ac:dyDescent="0.55000000000000004">
      <c r="A1127" s="270" t="s">
        <v>361</v>
      </c>
      <c r="B1127" s="271" t="s">
        <v>394</v>
      </c>
      <c r="C1127" s="271"/>
      <c r="D1127" s="271"/>
      <c r="E1127" s="271"/>
      <c r="F1127" s="272"/>
      <c r="G1127" s="273">
        <v>421015</v>
      </c>
      <c r="H1127" s="274">
        <v>1000000</v>
      </c>
      <c r="I1127" s="275">
        <f>110381.75+16924+53331+72684+14094+155752</f>
        <v>423166.75</v>
      </c>
      <c r="J1127" s="274">
        <v>155752</v>
      </c>
    </row>
    <row r="1128" spans="1:10" s="259" customFormat="1" ht="24" x14ac:dyDescent="0.55000000000000004">
      <c r="A1128" s="270" t="s">
        <v>363</v>
      </c>
      <c r="B1128" s="271" t="s">
        <v>395</v>
      </c>
      <c r="C1128" s="271"/>
      <c r="D1128" s="271"/>
      <c r="E1128" s="271"/>
      <c r="F1128" s="272"/>
      <c r="G1128" s="273">
        <v>421999</v>
      </c>
      <c r="H1128" s="274">
        <v>10000</v>
      </c>
      <c r="I1128" s="275"/>
      <c r="J1128" s="274"/>
    </row>
    <row r="1129" spans="1:10" s="259" customFormat="1" ht="24" x14ac:dyDescent="0.55000000000000004">
      <c r="A1129" s="270" t="s">
        <v>365</v>
      </c>
      <c r="B1129" s="271" t="s">
        <v>505</v>
      </c>
      <c r="C1129" s="271"/>
      <c r="D1129" s="271"/>
      <c r="E1129" s="271"/>
      <c r="F1129" s="272"/>
      <c r="G1129" s="273"/>
      <c r="H1129" s="268">
        <v>500000</v>
      </c>
      <c r="I1129" s="269">
        <f>767.81+34450.16+35453.95+35689.62</f>
        <v>106361.54000000001</v>
      </c>
      <c r="J1129" s="268">
        <v>35453.949999999997</v>
      </c>
    </row>
    <row r="1130" spans="1:10" s="289" customFormat="1" ht="24" x14ac:dyDescent="0.55000000000000004">
      <c r="A1130" s="297"/>
      <c r="B1130" s="271"/>
      <c r="C1130" s="271"/>
      <c r="D1130" s="271"/>
      <c r="E1130" s="861" t="s">
        <v>151</v>
      </c>
      <c r="F1130" s="862"/>
      <c r="G1130" s="298"/>
      <c r="H1130" s="299">
        <f>SUM(H1119:H1129)</f>
        <v>11890000</v>
      </c>
      <c r="I1130" s="300">
        <f>SUM(I1119:I1129)</f>
        <v>6798239.9000000004</v>
      </c>
      <c r="J1130" s="299">
        <f>SUM(J1119:J1129)</f>
        <v>1199829.4599999997</v>
      </c>
    </row>
    <row r="1131" spans="1:10" s="289" customFormat="1" ht="24" x14ac:dyDescent="0.55000000000000004">
      <c r="A1131" s="305"/>
      <c r="B1131" s="306"/>
      <c r="C1131" s="306"/>
      <c r="D1131" s="306"/>
      <c r="E1131" s="847"/>
      <c r="F1131" s="848"/>
      <c r="G1131" s="307"/>
      <c r="H1131" s="299"/>
      <c r="I1131" s="299"/>
      <c r="J1131" s="299"/>
    </row>
    <row r="1133" spans="1:10" s="289" customFormat="1" ht="24" x14ac:dyDescent="0.55000000000000004">
      <c r="A1133" s="849"/>
      <c r="B1133" s="849"/>
      <c r="C1133" s="849"/>
      <c r="D1133" s="849"/>
      <c r="G1133" s="265"/>
      <c r="H1133" s="258"/>
      <c r="I1133" s="258"/>
      <c r="J1133" s="258"/>
    </row>
    <row r="1134" spans="1:10" s="289" customFormat="1" ht="24" x14ac:dyDescent="0.55000000000000004">
      <c r="A1134" s="551"/>
      <c r="B1134" s="551"/>
      <c r="C1134" s="551"/>
      <c r="D1134" s="551"/>
      <c r="H1134" s="258"/>
      <c r="I1134" s="258"/>
      <c r="J1134" s="258"/>
    </row>
    <row r="1135" spans="1:10" s="289" customFormat="1" ht="24" x14ac:dyDescent="0.55000000000000004">
      <c r="A1135" s="551"/>
      <c r="B1135" s="551"/>
      <c r="C1135" s="551"/>
      <c r="D1135" s="551"/>
      <c r="H1135" s="258"/>
      <c r="I1135" s="258"/>
      <c r="J1135" s="258"/>
    </row>
    <row r="1136" spans="1:10" s="289" customFormat="1" ht="24" x14ac:dyDescent="0.55000000000000004">
      <c r="A1136" s="551"/>
      <c r="B1136" s="551"/>
      <c r="C1136" s="551"/>
      <c r="D1136" s="551"/>
      <c r="H1136" s="258"/>
      <c r="I1136" s="258"/>
      <c r="J1136" s="258"/>
    </row>
    <row r="1137" spans="1:11" s="289" customFormat="1" ht="24" x14ac:dyDescent="0.55000000000000004">
      <c r="A1137" s="564"/>
      <c r="B1137" s="564"/>
      <c r="C1137" s="564"/>
      <c r="D1137" s="564"/>
      <c r="H1137" s="258"/>
      <c r="I1137" s="258"/>
      <c r="J1137" s="258"/>
    </row>
    <row r="1138" spans="1:11" s="289" customFormat="1" ht="24" x14ac:dyDescent="0.55000000000000004">
      <c r="A1138" s="551"/>
      <c r="B1138" s="551"/>
      <c r="C1138" s="551"/>
      <c r="D1138" s="551"/>
      <c r="F1138" s="551" t="s">
        <v>491</v>
      </c>
      <c r="H1138" s="258"/>
      <c r="I1138" s="258"/>
      <c r="J1138" s="258"/>
    </row>
    <row r="1139" spans="1:11" s="289" customFormat="1" ht="24" x14ac:dyDescent="0.55000000000000004">
      <c r="A1139" s="551"/>
      <c r="B1139" s="551"/>
      <c r="C1139" s="551"/>
      <c r="D1139" s="551"/>
      <c r="F1139" s="551"/>
      <c r="H1139" s="258"/>
      <c r="I1139" s="258"/>
      <c r="J1139" s="258"/>
    </row>
    <row r="1140" spans="1:11" s="289" customFormat="1" ht="24" x14ac:dyDescent="0.55000000000000004">
      <c r="A1140" s="850"/>
      <c r="B1140" s="851"/>
      <c r="C1140" s="851"/>
      <c r="D1140" s="851"/>
      <c r="E1140" s="851"/>
      <c r="F1140" s="852"/>
      <c r="G1140" s="411" t="s">
        <v>78</v>
      </c>
      <c r="H1140" s="411" t="s">
        <v>6</v>
      </c>
      <c r="I1140" s="261" t="s">
        <v>335</v>
      </c>
      <c r="J1140" s="412" t="s">
        <v>336</v>
      </c>
    </row>
    <row r="1141" spans="1:11" s="289" customFormat="1" ht="24" x14ac:dyDescent="0.55000000000000004">
      <c r="A1141" s="301" t="s">
        <v>396</v>
      </c>
      <c r="B1141" s="302"/>
      <c r="C1141" s="271"/>
      <c r="D1141" s="271"/>
      <c r="E1141" s="271"/>
      <c r="F1141" s="272"/>
      <c r="G1141" s="298"/>
      <c r="H1141" s="268"/>
      <c r="I1141" s="269"/>
      <c r="J1141" s="268"/>
    </row>
    <row r="1142" spans="1:11" s="289" customFormat="1" ht="24" x14ac:dyDescent="0.55000000000000004">
      <c r="A1142" s="270" t="s">
        <v>339</v>
      </c>
      <c r="B1142" s="271" t="s">
        <v>469</v>
      </c>
      <c r="C1142" s="271"/>
      <c r="D1142" s="271"/>
      <c r="E1142" s="271"/>
      <c r="F1142" s="272"/>
      <c r="G1142" s="273">
        <v>431002</v>
      </c>
      <c r="H1142" s="274">
        <v>4750000</v>
      </c>
      <c r="I1142" s="275">
        <f>976141+976141</f>
        <v>1952282</v>
      </c>
      <c r="J1142" s="274"/>
    </row>
    <row r="1143" spans="1:11" s="289" customFormat="1" ht="24" x14ac:dyDescent="0.55000000000000004">
      <c r="A1143" s="397"/>
      <c r="B1143" s="271" t="s">
        <v>470</v>
      </c>
      <c r="C1143" s="271"/>
      <c r="D1143" s="271"/>
      <c r="E1143" s="392"/>
      <c r="F1143" s="398"/>
      <c r="G1143" s="298"/>
      <c r="H1143" s="402"/>
      <c r="I1143" s="402"/>
      <c r="J1143" s="402"/>
    </row>
    <row r="1144" spans="1:11" s="289" customFormat="1" ht="24" x14ac:dyDescent="0.55000000000000004">
      <c r="A1144" s="397"/>
      <c r="B1144" s="271" t="s">
        <v>483</v>
      </c>
      <c r="C1144" s="271"/>
      <c r="D1144" s="392"/>
      <c r="E1144" s="392"/>
      <c r="F1144" s="398"/>
      <c r="G1144" s="298"/>
      <c r="H1144" s="402"/>
      <c r="I1144" s="407">
        <f>69514+158955+135460</f>
        <v>363929</v>
      </c>
      <c r="J1144" s="407"/>
    </row>
    <row r="1145" spans="1:11" s="289" customFormat="1" ht="24" x14ac:dyDescent="0.55000000000000004">
      <c r="A1145" s="397"/>
      <c r="B1145" s="271" t="s">
        <v>481</v>
      </c>
      <c r="C1145" s="271"/>
      <c r="D1145" s="392"/>
      <c r="E1145" s="392"/>
      <c r="F1145" s="398"/>
      <c r="G1145" s="298"/>
      <c r="H1145" s="402"/>
      <c r="I1145" s="407">
        <f>244000+244000+316000</f>
        <v>804000</v>
      </c>
      <c r="J1145" s="407"/>
    </row>
    <row r="1146" spans="1:11" s="289" customFormat="1" ht="24" x14ac:dyDescent="0.55000000000000004">
      <c r="A1146" s="397"/>
      <c r="B1146" s="271" t="s">
        <v>487</v>
      </c>
      <c r="C1146" s="271"/>
      <c r="D1146" s="271"/>
      <c r="E1146" s="271"/>
      <c r="F1146" s="272"/>
      <c r="G1146" s="298"/>
      <c r="H1146" s="274"/>
      <c r="I1146" s="275">
        <v>8000</v>
      </c>
      <c r="J1146" s="274"/>
    </row>
    <row r="1147" spans="1:11" s="289" customFormat="1" ht="24" x14ac:dyDescent="0.55000000000000004">
      <c r="A1147" s="397"/>
      <c r="B1147" s="291" t="s">
        <v>486</v>
      </c>
      <c r="C1147" s="291"/>
      <c r="D1147" s="291"/>
      <c r="E1147" s="265"/>
      <c r="F1147" s="266"/>
      <c r="G1147" s="402"/>
      <c r="H1147" s="274"/>
      <c r="I1147" s="275">
        <v>52500</v>
      </c>
      <c r="J1147" s="274"/>
    </row>
    <row r="1148" spans="1:11" s="289" customFormat="1" ht="24" x14ac:dyDescent="0.55000000000000004">
      <c r="A1148" s="397"/>
      <c r="B1148" s="271" t="s">
        <v>482</v>
      </c>
      <c r="C1148" s="271"/>
      <c r="D1148" s="271"/>
      <c r="E1148" s="392"/>
      <c r="F1148" s="398"/>
      <c r="G1148" s="402"/>
      <c r="H1148" s="274"/>
      <c r="I1148" s="275">
        <f>7500+7500+15000</f>
        <v>30000</v>
      </c>
      <c r="J1148" s="274"/>
      <c r="K1148" s="289">
        <v>3</v>
      </c>
    </row>
    <row r="1149" spans="1:11" s="289" customFormat="1" ht="24" x14ac:dyDescent="0.55000000000000004">
      <c r="A1149" s="397"/>
      <c r="B1149" s="392"/>
      <c r="C1149" s="392"/>
      <c r="D1149" s="392"/>
      <c r="E1149" s="392"/>
      <c r="F1149" s="398"/>
      <c r="G1149" s="402"/>
      <c r="H1149" s="274"/>
      <c r="I1149" s="275"/>
      <c r="J1149" s="274"/>
    </row>
    <row r="1150" spans="1:11" s="289" customFormat="1" ht="24" x14ac:dyDescent="0.55000000000000004">
      <c r="A1150" s="397"/>
      <c r="B1150" s="392"/>
      <c r="C1150" s="392"/>
      <c r="D1150" s="392"/>
      <c r="E1150" s="392"/>
      <c r="F1150" s="398"/>
      <c r="G1150" s="402"/>
      <c r="H1150" s="303"/>
      <c r="I1150" s="399"/>
      <c r="J1150" s="303"/>
    </row>
    <row r="1151" spans="1:11" s="289" customFormat="1" ht="24" x14ac:dyDescent="0.55000000000000004">
      <c r="A1151" s="305"/>
      <c r="B1151" s="306"/>
      <c r="C1151" s="306"/>
      <c r="D1151" s="306"/>
      <c r="E1151" s="847" t="s">
        <v>151</v>
      </c>
      <c r="F1151" s="848"/>
      <c r="G1151" s="307"/>
      <c r="H1151" s="299">
        <f>SUM(H1142)</f>
        <v>4750000</v>
      </c>
      <c r="I1151" s="299">
        <f>SUM(I1142:I1150)</f>
        <v>3210711</v>
      </c>
      <c r="J1151" s="299">
        <f>SUM(J1142:J1150)</f>
        <v>0</v>
      </c>
    </row>
    <row r="1152" spans="1:11" s="289" customFormat="1" ht="28.5" customHeight="1" thickBot="1" x14ac:dyDescent="0.6">
      <c r="A1152" s="464"/>
      <c r="B1152" s="461"/>
      <c r="C1152" s="461"/>
      <c r="D1152" s="461"/>
      <c r="E1152" s="462" t="s">
        <v>612</v>
      </c>
      <c r="F1152" s="463"/>
      <c r="G1152" s="463"/>
      <c r="H1152" s="309">
        <f>+H1070+H1094+H1105+H1109+H1113+H1117+H1130+H1151</f>
        <v>22000000</v>
      </c>
      <c r="I1152" s="309">
        <f>+I1070+I1094+I1105+I1109+I1113+I1117+I1130+I1151</f>
        <v>16158001.82</v>
      </c>
      <c r="J1152" s="309">
        <f>+J1070+J1094+J1105+J1109+J1113+J1117+J1130+J1151</f>
        <v>1255909.4599999997</v>
      </c>
    </row>
    <row r="1153" spans="1:10" ht="24.75" thickTop="1" x14ac:dyDescent="0.55000000000000004">
      <c r="A1153" s="111"/>
      <c r="G1153" s="402"/>
      <c r="H1153" s="274"/>
      <c r="I1153" s="275"/>
      <c r="J1153" s="274"/>
    </row>
    <row r="1154" spans="1:10" ht="24" x14ac:dyDescent="0.55000000000000004">
      <c r="A1154" s="405" t="s">
        <v>477</v>
      </c>
      <c r="B1154" s="406"/>
      <c r="C1154" s="291"/>
      <c r="D1154" s="291"/>
      <c r="E1154" s="291"/>
      <c r="F1154" s="292"/>
      <c r="G1154" s="402"/>
      <c r="H1154" s="268"/>
      <c r="I1154" s="269"/>
      <c r="J1154" s="268"/>
    </row>
    <row r="1155" spans="1:10" ht="24" x14ac:dyDescent="0.55000000000000004">
      <c r="A1155" s="270" t="s">
        <v>339</v>
      </c>
      <c r="B1155" s="271" t="s">
        <v>476</v>
      </c>
      <c r="C1155" s="271"/>
      <c r="D1155" s="271"/>
      <c r="E1155" s="271"/>
      <c r="F1155" s="272"/>
      <c r="G1155" s="273"/>
      <c r="H1155" s="274"/>
      <c r="I1155" s="275"/>
      <c r="J1155" s="274"/>
    </row>
    <row r="1156" spans="1:10" ht="24" x14ac:dyDescent="0.55000000000000004">
      <c r="A1156" s="270"/>
      <c r="B1156" s="271" t="s">
        <v>484</v>
      </c>
      <c r="C1156" s="271"/>
      <c r="D1156" s="271"/>
      <c r="E1156" s="271"/>
      <c r="F1156" s="272"/>
      <c r="G1156" s="273"/>
      <c r="H1156" s="274"/>
      <c r="I1156" s="275">
        <f>1011900+674600+331700+657800</f>
        <v>2676000</v>
      </c>
      <c r="J1156" s="274">
        <v>331700</v>
      </c>
    </row>
    <row r="1157" spans="1:10" ht="24" x14ac:dyDescent="0.55000000000000004">
      <c r="A1157" s="270"/>
      <c r="B1157" s="271" t="s">
        <v>485</v>
      </c>
      <c r="C1157" s="271"/>
      <c r="D1157" s="271"/>
      <c r="E1157" s="271"/>
      <c r="F1157" s="272"/>
      <c r="G1157" s="273"/>
      <c r="H1157" s="274"/>
      <c r="I1157" s="531">
        <f>136800+136800+45600+45600</f>
        <v>364800</v>
      </c>
      <c r="J1157" s="274">
        <v>45600</v>
      </c>
    </row>
    <row r="1158" spans="1:10" ht="24" x14ac:dyDescent="0.55000000000000004">
      <c r="A1158" s="270"/>
      <c r="B1158" s="302" t="s">
        <v>488</v>
      </c>
      <c r="C1158" s="302"/>
      <c r="D1158" s="302"/>
      <c r="E1158" s="271"/>
      <c r="F1158" s="272"/>
      <c r="G1158" s="273"/>
      <c r="H1158" s="274"/>
      <c r="I1158" s="275"/>
      <c r="J1158" s="274"/>
    </row>
    <row r="1159" spans="1:10" ht="24" x14ac:dyDescent="0.55000000000000004">
      <c r="A1159" s="270"/>
      <c r="B1159" s="271" t="s">
        <v>478</v>
      </c>
      <c r="C1159" s="271"/>
      <c r="D1159" s="271"/>
      <c r="E1159" s="271"/>
      <c r="F1159" s="272"/>
      <c r="G1159" s="273"/>
      <c r="H1159" s="274"/>
      <c r="I1159" s="275">
        <v>50400</v>
      </c>
      <c r="J1159" s="274"/>
    </row>
    <row r="1160" spans="1:10" ht="24" x14ac:dyDescent="0.55000000000000004">
      <c r="A1160" s="270"/>
      <c r="B1160" s="271" t="s">
        <v>479</v>
      </c>
      <c r="C1160" s="271"/>
      <c r="D1160" s="271"/>
      <c r="E1160" s="271"/>
      <c r="F1160" s="272"/>
      <c r="G1160" s="273"/>
      <c r="H1160" s="274"/>
      <c r="I1160" s="275">
        <f>118290+78860+17955+160150</f>
        <v>375255</v>
      </c>
      <c r="J1160" s="274"/>
    </row>
    <row r="1161" spans="1:10" ht="24" x14ac:dyDescent="0.55000000000000004">
      <c r="A1161" s="270"/>
      <c r="B1161" s="271" t="s">
        <v>522</v>
      </c>
      <c r="C1161" s="271"/>
      <c r="D1161" s="271"/>
      <c r="E1161" s="271"/>
      <c r="F1161" s="272"/>
      <c r="G1161" s="273"/>
      <c r="H1161" s="274"/>
      <c r="I1161" s="275">
        <f>21800+68400+45600+91200</f>
        <v>227000</v>
      </c>
      <c r="J1161" s="274"/>
    </row>
    <row r="1162" spans="1:10" ht="24" x14ac:dyDescent="0.55000000000000004">
      <c r="A1162" s="270"/>
      <c r="B1162" s="271" t="s">
        <v>521</v>
      </c>
      <c r="C1162" s="271"/>
      <c r="D1162" s="271"/>
      <c r="E1162" s="271"/>
      <c r="F1162" s="272"/>
      <c r="G1162" s="273"/>
      <c r="H1162" s="274"/>
      <c r="I1162" s="275">
        <f>1090+3420+2280+4560</f>
        <v>11350</v>
      </c>
      <c r="J1162" s="274"/>
    </row>
    <row r="1163" spans="1:10" ht="24" x14ac:dyDescent="0.55000000000000004">
      <c r="A1163" s="270"/>
      <c r="B1163" s="271" t="s">
        <v>489</v>
      </c>
      <c r="C1163" s="271"/>
      <c r="D1163" s="271"/>
      <c r="E1163" s="271"/>
      <c r="F1163" s="272"/>
      <c r="G1163" s="273"/>
      <c r="H1163" s="274"/>
      <c r="I1163" s="275"/>
      <c r="J1163" s="274"/>
    </row>
    <row r="1164" spans="1:10" ht="24" x14ac:dyDescent="0.55000000000000004">
      <c r="A1164" s="270"/>
      <c r="B1164" s="271" t="s">
        <v>490</v>
      </c>
      <c r="C1164" s="271"/>
      <c r="D1164" s="271"/>
      <c r="E1164" s="271"/>
      <c r="F1164" s="272"/>
      <c r="G1164" s="273"/>
      <c r="H1164" s="274"/>
      <c r="I1164" s="275"/>
      <c r="J1164" s="274"/>
    </row>
    <row r="1165" spans="1:10" ht="24" x14ac:dyDescent="0.55000000000000004">
      <c r="A1165" s="270"/>
      <c r="B1165" s="271"/>
      <c r="C1165" s="271"/>
      <c r="D1165" s="271"/>
      <c r="E1165" s="271"/>
      <c r="F1165" s="272"/>
      <c r="G1165" s="273"/>
      <c r="H1165" s="274"/>
      <c r="I1165" s="275"/>
      <c r="J1165" s="274"/>
    </row>
    <row r="1166" spans="1:10" ht="24" x14ac:dyDescent="0.55000000000000004">
      <c r="A1166" s="270"/>
      <c r="B1166" s="271"/>
      <c r="C1166" s="271"/>
      <c r="D1166" s="271"/>
      <c r="E1166" s="271"/>
      <c r="F1166" s="272"/>
      <c r="G1166" s="273"/>
      <c r="H1166" s="274"/>
      <c r="I1166" s="275"/>
      <c r="J1166" s="274"/>
    </row>
    <row r="1167" spans="1:10" ht="24" x14ac:dyDescent="0.55000000000000004">
      <c r="A1167" s="305"/>
      <c r="B1167" s="306"/>
      <c r="C1167" s="306"/>
      <c r="D1167" s="306"/>
      <c r="E1167" s="847" t="s">
        <v>151</v>
      </c>
      <c r="F1167" s="848"/>
      <c r="G1167" s="307"/>
      <c r="H1167" s="299">
        <f>SUM(H1156:H1166)</f>
        <v>0</v>
      </c>
      <c r="I1167" s="299">
        <f>SUM(I1156:I1166)</f>
        <v>3704805</v>
      </c>
      <c r="J1167" s="299">
        <f>SUM(J1154:J1166)</f>
        <v>377300</v>
      </c>
    </row>
    <row r="1168" spans="1:10" ht="24.75" thickBot="1" x14ac:dyDescent="0.6">
      <c r="A1168" s="428"/>
      <c r="B1168" s="265"/>
      <c r="C1168" s="265"/>
      <c r="D1168" s="265"/>
      <c r="E1168" s="420" t="s">
        <v>506</v>
      </c>
      <c r="G1168" s="265"/>
      <c r="H1168" s="425">
        <f>SUM(H1167)</f>
        <v>0</v>
      </c>
      <c r="I1168" s="425">
        <f>SUM(I1167)</f>
        <v>3704805</v>
      </c>
      <c r="J1168" s="425">
        <f>SUM(J1167)</f>
        <v>377300</v>
      </c>
    </row>
    <row r="1169" spans="1:10" ht="24" x14ac:dyDescent="0.55000000000000004">
      <c r="A1169" s="421"/>
      <c r="B1169" s="422"/>
      <c r="C1169" s="422"/>
      <c r="D1169" s="422"/>
      <c r="E1169" s="423" t="s">
        <v>613</v>
      </c>
      <c r="F1169" s="161"/>
      <c r="G1169" s="424"/>
      <c r="H1169" s="426"/>
      <c r="I1169" s="426">
        <f>+I1168+I1152</f>
        <v>19862806.82</v>
      </c>
      <c r="J1169" s="427">
        <f>+J1168+J1152</f>
        <v>1633209.4599999997</v>
      </c>
    </row>
    <row r="1170" spans="1:10" s="289" customFormat="1" ht="24" x14ac:dyDescent="0.55000000000000004"/>
    <row r="1171" spans="1:10" s="312" customFormat="1" ht="24" x14ac:dyDescent="0.55000000000000004"/>
    <row r="1172" spans="1:10" s="312" customFormat="1" ht="24" x14ac:dyDescent="0.55000000000000004">
      <c r="A1172" s="400"/>
      <c r="B1172" s="400"/>
      <c r="C1172" s="400"/>
      <c r="D1172" s="400"/>
      <c r="E1172" s="400"/>
      <c r="F1172" s="400"/>
      <c r="G1172" s="401"/>
      <c r="H1172" s="401"/>
      <c r="I1172" s="258"/>
      <c r="J1172" s="258"/>
    </row>
    <row r="1173" spans="1:10" s="312" customFormat="1" ht="24" x14ac:dyDescent="0.55000000000000004">
      <c r="A1173" s="400"/>
      <c r="B1173" s="400"/>
      <c r="C1173" s="400"/>
      <c r="D1173" s="400"/>
      <c r="E1173" s="400"/>
      <c r="F1173" s="400"/>
      <c r="G1173" s="401"/>
      <c r="H1173" s="401"/>
      <c r="I1173" s="258"/>
      <c r="J1173" s="258"/>
    </row>
    <row r="1174" spans="1:10" s="312" customFormat="1" ht="24" x14ac:dyDescent="0.55000000000000004">
      <c r="F1174" s="400"/>
      <c r="G1174" s="401"/>
      <c r="H1174" s="401"/>
      <c r="I1174" s="313"/>
      <c r="J1174" s="313"/>
    </row>
    <row r="1176" spans="1:10" s="289" customFormat="1" ht="24" x14ac:dyDescent="0.55000000000000004">
      <c r="A1176" s="564"/>
      <c r="B1176" s="564"/>
      <c r="C1176" s="564"/>
      <c r="D1176" s="564"/>
      <c r="F1176" s="564" t="s">
        <v>634</v>
      </c>
      <c r="H1176" s="258"/>
      <c r="I1176" s="258"/>
      <c r="J1176" s="258"/>
    </row>
    <row r="1180" spans="1:10" ht="23.25" customHeight="1" x14ac:dyDescent="0.55000000000000004">
      <c r="A1180" s="850"/>
      <c r="B1180" s="851"/>
      <c r="C1180" s="851"/>
      <c r="D1180" s="851"/>
      <c r="E1180" s="851"/>
      <c r="F1180" s="852"/>
      <c r="G1180" s="411" t="s">
        <v>78</v>
      </c>
      <c r="H1180" s="411" t="s">
        <v>6</v>
      </c>
      <c r="I1180" s="261" t="s">
        <v>335</v>
      </c>
      <c r="J1180" s="412" t="s">
        <v>336</v>
      </c>
    </row>
    <row r="1181" spans="1:10" ht="24" x14ac:dyDescent="0.55000000000000004">
      <c r="A1181" s="304" t="s">
        <v>630</v>
      </c>
      <c r="B1181" s="302"/>
      <c r="C1181" s="271"/>
      <c r="D1181" s="271"/>
      <c r="E1181" s="271"/>
      <c r="F1181" s="272"/>
      <c r="G1181" s="273"/>
      <c r="H1181" s="274"/>
      <c r="I1181" s="275"/>
      <c r="J1181" s="274"/>
    </row>
    <row r="1182" spans="1:10" ht="24" x14ac:dyDescent="0.55000000000000004">
      <c r="A1182" s="270"/>
      <c r="B1182" s="271" t="s">
        <v>633</v>
      </c>
      <c r="C1182" s="271"/>
      <c r="D1182" s="271"/>
      <c r="E1182" s="271"/>
      <c r="F1182" s="272"/>
      <c r="G1182" s="273"/>
      <c r="H1182" s="274"/>
      <c r="I1182" s="275">
        <v>4282000</v>
      </c>
      <c r="J1182" s="274"/>
    </row>
    <row r="1183" spans="1:10" ht="24" x14ac:dyDescent="0.55000000000000004">
      <c r="A1183" s="270"/>
      <c r="B1183" s="271" t="s">
        <v>631</v>
      </c>
      <c r="C1183" s="271"/>
      <c r="D1183" s="271"/>
      <c r="E1183" s="271"/>
      <c r="F1183" s="272"/>
      <c r="G1183" s="273"/>
      <c r="H1183" s="274"/>
      <c r="I1183" s="275">
        <f>1061725.64+1253700</f>
        <v>2315425.6399999997</v>
      </c>
      <c r="J1183" s="274">
        <v>1253700</v>
      </c>
    </row>
    <row r="1184" spans="1:10" ht="24" x14ac:dyDescent="0.55000000000000004">
      <c r="A1184" s="270"/>
      <c r="B1184" s="271" t="s">
        <v>632</v>
      </c>
      <c r="C1184" s="271"/>
      <c r="D1184" s="271"/>
      <c r="E1184" s="271"/>
      <c r="F1184" s="272"/>
      <c r="G1184" s="273"/>
      <c r="H1184" s="274"/>
      <c r="I1184" s="275"/>
      <c r="J1184" s="274"/>
    </row>
    <row r="1185" spans="1:10" ht="24" x14ac:dyDescent="0.55000000000000004">
      <c r="A1185" s="270"/>
      <c r="B1185" s="271" t="s">
        <v>631</v>
      </c>
      <c r="C1185" s="271"/>
      <c r="D1185" s="271"/>
      <c r="E1185" s="271"/>
      <c r="F1185" s="272"/>
      <c r="G1185" s="273"/>
      <c r="H1185" s="274"/>
      <c r="I1185" s="275"/>
      <c r="J1185" s="274"/>
    </row>
    <row r="1186" spans="1:10" ht="24" x14ac:dyDescent="0.55000000000000004">
      <c r="A1186" s="270"/>
      <c r="B1186" s="271" t="s">
        <v>635</v>
      </c>
      <c r="C1186" s="271"/>
      <c r="D1186" s="271"/>
      <c r="E1186" s="271"/>
      <c r="F1186" s="272"/>
      <c r="G1186" s="273"/>
      <c r="H1186" s="274"/>
      <c r="I1186" s="275"/>
      <c r="J1186" s="274"/>
    </row>
    <row r="1187" spans="1:10" ht="24" x14ac:dyDescent="0.55000000000000004">
      <c r="A1187" s="270"/>
      <c r="B1187" s="271"/>
      <c r="C1187" s="271"/>
      <c r="D1187" s="271"/>
      <c r="E1187" s="271"/>
      <c r="F1187" s="272"/>
      <c r="G1187" s="273"/>
      <c r="H1187" s="274"/>
      <c r="I1187" s="275"/>
      <c r="J1187" s="274"/>
    </row>
    <row r="1188" spans="1:10" ht="24" x14ac:dyDescent="0.55000000000000004">
      <c r="A1188" s="270"/>
      <c r="B1188" s="271"/>
      <c r="C1188" s="271"/>
      <c r="D1188" s="271"/>
      <c r="E1188" s="271"/>
      <c r="F1188" s="272"/>
      <c r="G1188" s="273"/>
      <c r="H1188" s="274"/>
      <c r="I1188" s="275"/>
      <c r="J1188" s="274"/>
    </row>
    <row r="1189" spans="1:10" ht="24" x14ac:dyDescent="0.55000000000000004">
      <c r="A1189" s="270"/>
      <c r="B1189" s="271"/>
      <c r="C1189" s="271"/>
      <c r="D1189" s="271"/>
      <c r="E1189" s="271"/>
      <c r="F1189" s="272"/>
      <c r="G1189" s="273"/>
      <c r="H1189" s="274"/>
      <c r="I1189" s="275"/>
      <c r="J1189" s="274"/>
    </row>
    <row r="1190" spans="1:10" ht="24" x14ac:dyDescent="0.55000000000000004">
      <c r="A1190" s="270"/>
      <c r="B1190" s="271"/>
      <c r="C1190" s="271"/>
      <c r="D1190" s="271"/>
      <c r="E1190" s="271"/>
      <c r="F1190" s="272"/>
      <c r="G1190" s="273"/>
      <c r="H1190" s="274"/>
      <c r="I1190" s="275"/>
      <c r="J1190" s="274"/>
    </row>
    <row r="1191" spans="1:10" ht="24" x14ac:dyDescent="0.55000000000000004">
      <c r="A1191" s="270"/>
      <c r="B1191" s="271"/>
      <c r="C1191" s="271"/>
      <c r="D1191" s="271"/>
      <c r="E1191" s="271"/>
      <c r="F1191" s="272"/>
      <c r="G1191" s="273"/>
      <c r="H1191" s="274"/>
      <c r="I1191" s="275"/>
      <c r="J1191" s="274"/>
    </row>
    <row r="1192" spans="1:10" ht="24" x14ac:dyDescent="0.55000000000000004">
      <c r="A1192" s="270"/>
      <c r="B1192" s="271"/>
      <c r="C1192" s="271"/>
      <c r="D1192" s="271"/>
      <c r="E1192" s="271"/>
      <c r="F1192" s="272"/>
      <c r="G1192" s="273"/>
      <c r="H1192" s="274"/>
      <c r="I1192" s="275"/>
      <c r="J1192" s="274"/>
    </row>
    <row r="1193" spans="1:10" ht="24" customHeight="1" x14ac:dyDescent="0.55000000000000004">
      <c r="A1193" s="305"/>
      <c r="B1193" s="306"/>
      <c r="C1193" s="306"/>
      <c r="D1193" s="306"/>
      <c r="E1193" s="847" t="s">
        <v>151</v>
      </c>
      <c r="F1193" s="848"/>
      <c r="G1193" s="307"/>
      <c r="H1193" s="299">
        <f>SUM(H1183:H1192)</f>
        <v>0</v>
      </c>
      <c r="I1193" s="299">
        <f>SUM(I1182:I1192)</f>
        <v>6597425.6399999997</v>
      </c>
      <c r="J1193" s="299">
        <f>SUM(J1181:J1192)</f>
        <v>1253700</v>
      </c>
    </row>
    <row r="1194" spans="1:10" ht="27" customHeight="1" x14ac:dyDescent="0.55000000000000004">
      <c r="A1194" s="421"/>
      <c r="B1194" s="422"/>
      <c r="C1194" s="422"/>
      <c r="D1194" s="422"/>
      <c r="E1194" s="423" t="s">
        <v>613</v>
      </c>
      <c r="F1194" s="161"/>
      <c r="G1194" s="424"/>
      <c r="H1194" s="426"/>
      <c r="I1194" s="426">
        <f>+I1169+I1193</f>
        <v>26460232.460000001</v>
      </c>
      <c r="J1194" s="426">
        <f>+J1169+J1193</f>
        <v>2886909.46</v>
      </c>
    </row>
    <row r="1209" spans="1:10" s="312" customFormat="1" ht="24" x14ac:dyDescent="0.55000000000000004">
      <c r="A1209" s="400" t="s">
        <v>471</v>
      </c>
      <c r="B1209" s="400"/>
      <c r="C1209" s="400"/>
      <c r="D1209" s="400"/>
      <c r="E1209" s="400"/>
      <c r="F1209" s="400" t="s">
        <v>509</v>
      </c>
      <c r="G1209" s="401"/>
      <c r="H1209" s="401"/>
      <c r="I1209" s="258" t="s">
        <v>474</v>
      </c>
      <c r="J1209" s="258"/>
    </row>
    <row r="1210" spans="1:10" s="312" customFormat="1" ht="24" x14ac:dyDescent="0.55000000000000004">
      <c r="A1210" s="400" t="s">
        <v>472</v>
      </c>
      <c r="B1210" s="400"/>
      <c r="C1210" s="400"/>
      <c r="D1210" s="400"/>
      <c r="E1210" s="400"/>
      <c r="F1210" s="400" t="s">
        <v>510</v>
      </c>
      <c r="G1210" s="401"/>
      <c r="H1210" s="401"/>
      <c r="I1210" s="258" t="s">
        <v>473</v>
      </c>
      <c r="J1210" s="258"/>
    </row>
    <row r="1211" spans="1:10" s="312" customFormat="1" ht="24" x14ac:dyDescent="0.55000000000000004">
      <c r="F1211" s="400" t="s">
        <v>475</v>
      </c>
      <c r="G1211" s="401"/>
      <c r="H1211" s="401"/>
      <c r="I1211" s="313"/>
      <c r="J1211" s="313"/>
    </row>
    <row r="1223" spans="1:10" s="259" customFormat="1" ht="24" x14ac:dyDescent="0.55000000000000004">
      <c r="A1223" s="853" t="s">
        <v>76</v>
      </c>
      <c r="B1223" s="853"/>
      <c r="C1223" s="853"/>
      <c r="D1223" s="853"/>
      <c r="E1223" s="853"/>
      <c r="F1223" s="853"/>
      <c r="G1223" s="853"/>
      <c r="H1223" s="853"/>
      <c r="I1223" s="853"/>
      <c r="J1223" s="853"/>
    </row>
    <row r="1224" spans="1:10" s="259" customFormat="1" ht="24" x14ac:dyDescent="0.55000000000000004">
      <c r="A1224" s="853" t="s">
        <v>334</v>
      </c>
      <c r="B1224" s="853"/>
      <c r="C1224" s="853"/>
      <c r="D1224" s="853"/>
      <c r="E1224" s="853"/>
      <c r="F1224" s="853"/>
      <c r="G1224" s="853"/>
      <c r="H1224" s="853"/>
      <c r="I1224" s="853"/>
      <c r="J1224" s="853"/>
    </row>
    <row r="1225" spans="1:10" s="259" customFormat="1" ht="24" x14ac:dyDescent="0.55000000000000004">
      <c r="A1225" s="854" t="s">
        <v>625</v>
      </c>
      <c r="B1225" s="854"/>
      <c r="C1225" s="854"/>
      <c r="D1225" s="854"/>
      <c r="E1225" s="854"/>
      <c r="F1225" s="854"/>
      <c r="G1225" s="854"/>
      <c r="H1225" s="854"/>
      <c r="I1225" s="854"/>
      <c r="J1225" s="854"/>
    </row>
    <row r="1226" spans="1:10" s="259" customFormat="1" ht="24" x14ac:dyDescent="0.55000000000000004">
      <c r="A1226" s="855"/>
      <c r="B1226" s="856"/>
      <c r="C1226" s="856"/>
      <c r="D1226" s="856"/>
      <c r="E1226" s="856"/>
      <c r="F1226" s="857"/>
      <c r="G1226" s="260" t="s">
        <v>78</v>
      </c>
      <c r="H1226" s="260" t="s">
        <v>6</v>
      </c>
      <c r="I1226" s="261" t="s">
        <v>335</v>
      </c>
      <c r="J1226" s="262" t="s">
        <v>336</v>
      </c>
    </row>
    <row r="1227" spans="1:10" s="259" customFormat="1" ht="24" x14ac:dyDescent="0.55000000000000004">
      <c r="A1227" s="263" t="s">
        <v>337</v>
      </c>
      <c r="B1227" s="264"/>
      <c r="C1227" s="265"/>
      <c r="D1227" s="265"/>
      <c r="E1227" s="265"/>
      <c r="F1227" s="266"/>
      <c r="G1227" s="267"/>
      <c r="H1227" s="268"/>
      <c r="I1227" s="269"/>
      <c r="J1227" s="268"/>
    </row>
    <row r="1228" spans="1:10" s="259" customFormat="1" ht="24" x14ac:dyDescent="0.55000000000000004">
      <c r="A1228" s="263" t="s">
        <v>338</v>
      </c>
      <c r="B1228" s="264"/>
      <c r="C1228" s="265"/>
      <c r="D1228" s="265"/>
      <c r="E1228" s="265"/>
      <c r="F1228" s="266"/>
      <c r="G1228" s="267"/>
      <c r="H1228" s="268"/>
      <c r="I1228" s="269"/>
      <c r="J1228" s="268"/>
    </row>
    <row r="1229" spans="1:10" s="259" customFormat="1" ht="24" x14ac:dyDescent="0.55000000000000004">
      <c r="A1229" s="270" t="s">
        <v>339</v>
      </c>
      <c r="B1229" s="271" t="s">
        <v>340</v>
      </c>
      <c r="C1229" s="271"/>
      <c r="D1229" s="271"/>
      <c r="E1229" s="271"/>
      <c r="F1229" s="272"/>
      <c r="G1229" s="273">
        <v>411001</v>
      </c>
      <c r="H1229" s="274">
        <v>3900000</v>
      </c>
      <c r="I1229" s="275">
        <f>187018.1+4119328.13+9180+5575</f>
        <v>4321101.2299999995</v>
      </c>
      <c r="J1229" s="274"/>
    </row>
    <row r="1230" spans="1:10" s="259" customFormat="1" ht="24" x14ac:dyDescent="0.55000000000000004">
      <c r="A1230" s="270" t="s">
        <v>341</v>
      </c>
      <c r="B1230" s="271" t="s">
        <v>342</v>
      </c>
      <c r="C1230" s="271"/>
      <c r="D1230" s="271"/>
      <c r="E1230" s="271"/>
      <c r="F1230" s="272"/>
      <c r="G1230" s="273">
        <v>411002</v>
      </c>
      <c r="H1230" s="274">
        <v>50000</v>
      </c>
      <c r="I1230" s="275">
        <f>222.3+653.6+2296.15+2449.1+20855.35+16614.55+1774.6+682.1</f>
        <v>45547.75</v>
      </c>
      <c r="J1230" s="274">
        <v>682.1</v>
      </c>
    </row>
    <row r="1231" spans="1:10" s="259" customFormat="1" ht="24" x14ac:dyDescent="0.55000000000000004">
      <c r="A1231" s="270" t="s">
        <v>343</v>
      </c>
      <c r="B1231" s="271" t="s">
        <v>344</v>
      </c>
      <c r="C1231" s="271"/>
      <c r="D1231" s="271"/>
      <c r="E1231" s="271"/>
      <c r="F1231" s="272"/>
      <c r="G1231" s="273">
        <v>411003</v>
      </c>
      <c r="H1231" s="274">
        <v>20000</v>
      </c>
      <c r="I1231" s="275">
        <f>2919+15360+800</f>
        <v>19079</v>
      </c>
      <c r="J1231" s="274"/>
    </row>
    <row r="1232" spans="1:10" s="259" customFormat="1" ht="24" x14ac:dyDescent="0.55000000000000004">
      <c r="A1232" s="270" t="s">
        <v>345</v>
      </c>
      <c r="B1232" s="271" t="s">
        <v>346</v>
      </c>
      <c r="C1232" s="271"/>
      <c r="D1232" s="271"/>
      <c r="E1232" s="271"/>
      <c r="F1232" s="272"/>
      <c r="G1232" s="273">
        <v>411004</v>
      </c>
      <c r="H1232" s="274">
        <v>0</v>
      </c>
      <c r="I1232" s="275">
        <v>0</v>
      </c>
      <c r="J1232" s="274">
        <v>0</v>
      </c>
    </row>
    <row r="1233" spans="1:11" s="259" customFormat="1" ht="24" x14ac:dyDescent="0.55000000000000004">
      <c r="A1233" s="270" t="s">
        <v>347</v>
      </c>
      <c r="B1233" s="271" t="s">
        <v>348</v>
      </c>
      <c r="C1233" s="271"/>
      <c r="D1233" s="271"/>
      <c r="E1233" s="271"/>
      <c r="F1233" s="272"/>
      <c r="G1233" s="273">
        <v>411005</v>
      </c>
      <c r="H1233" s="276">
        <v>100000</v>
      </c>
      <c r="I1233" s="277">
        <f>24629.02+645270.57+50322.79</f>
        <v>720222.38</v>
      </c>
      <c r="J1233" s="276">
        <v>0</v>
      </c>
    </row>
    <row r="1234" spans="1:11" s="259" customFormat="1" ht="24" x14ac:dyDescent="0.55000000000000004">
      <c r="A1234" s="270"/>
      <c r="B1234" s="271"/>
      <c r="C1234" s="271"/>
      <c r="D1234" s="271"/>
      <c r="E1234" s="271"/>
      <c r="F1234" s="272"/>
      <c r="G1234" s="273"/>
      <c r="H1234" s="299">
        <f>SUM(H1229:H1233)</f>
        <v>4070000</v>
      </c>
      <c r="I1234" s="300">
        <f>SUM(I1229:I1233)</f>
        <v>5105950.3599999994</v>
      </c>
      <c r="J1234" s="299">
        <f>SUM(J1229:J1233)</f>
        <v>682.1</v>
      </c>
    </row>
    <row r="1235" spans="1:11" s="259" customFormat="1" ht="24" x14ac:dyDescent="0.55000000000000004">
      <c r="A1235" s="263" t="s">
        <v>349</v>
      </c>
      <c r="B1235" s="278"/>
      <c r="C1235" s="278"/>
      <c r="D1235" s="278"/>
      <c r="E1235" s="279"/>
      <c r="F1235" s="280"/>
      <c r="G1235" s="281"/>
      <c r="H1235" s="282"/>
      <c r="I1235" s="283"/>
      <c r="J1235" s="268"/>
    </row>
    <row r="1236" spans="1:11" s="259" customFormat="1" ht="24" x14ac:dyDescent="0.55000000000000004">
      <c r="A1236" s="270" t="s">
        <v>339</v>
      </c>
      <c r="B1236" s="271" t="s">
        <v>350</v>
      </c>
      <c r="C1236" s="284"/>
      <c r="D1236" s="284"/>
      <c r="E1236" s="284"/>
      <c r="F1236" s="285"/>
      <c r="G1236" s="286">
        <v>412103</v>
      </c>
      <c r="H1236" s="287">
        <v>500</v>
      </c>
      <c r="I1236" s="288">
        <f>77.6+19.4+38.8+155.2+252.2+213.4+213.4</f>
        <v>970</v>
      </c>
      <c r="J1236" s="274">
        <v>38.799999999999997</v>
      </c>
    </row>
    <row r="1237" spans="1:11" s="259" customFormat="1" ht="24" x14ac:dyDescent="0.55000000000000004">
      <c r="A1237" s="270" t="s">
        <v>341</v>
      </c>
      <c r="B1237" s="271" t="s">
        <v>351</v>
      </c>
      <c r="C1237" s="284"/>
      <c r="D1237" s="284"/>
      <c r="E1237" s="284"/>
      <c r="F1237" s="285"/>
      <c r="G1237" s="286">
        <v>412104</v>
      </c>
      <c r="H1237" s="287">
        <v>500</v>
      </c>
      <c r="I1237" s="288"/>
      <c r="J1237" s="274"/>
    </row>
    <row r="1238" spans="1:11" s="259" customFormat="1" ht="24" x14ac:dyDescent="0.55000000000000004">
      <c r="A1238" s="270" t="s">
        <v>343</v>
      </c>
      <c r="B1238" s="271" t="s">
        <v>352</v>
      </c>
      <c r="C1238" s="284"/>
      <c r="D1238" s="284"/>
      <c r="E1238" s="284"/>
      <c r="F1238" s="285"/>
      <c r="G1238" s="286">
        <v>4120106</v>
      </c>
      <c r="H1238" s="287">
        <v>20000</v>
      </c>
      <c r="I1238" s="288">
        <f>292+24+164+2398+65+136+181+3166</f>
        <v>6426</v>
      </c>
      <c r="J1238" s="274">
        <v>3166</v>
      </c>
    </row>
    <row r="1239" spans="1:11" s="259" customFormat="1" ht="24" x14ac:dyDescent="0.55000000000000004">
      <c r="A1239" s="270" t="s">
        <v>345</v>
      </c>
      <c r="B1239" s="271" t="s">
        <v>456</v>
      </c>
      <c r="C1239" s="284"/>
      <c r="D1239" s="284"/>
      <c r="E1239" s="284"/>
      <c r="F1239" s="285"/>
      <c r="G1239" s="286"/>
      <c r="H1239" s="287">
        <v>500</v>
      </c>
      <c r="I1239" s="288"/>
      <c r="J1239" s="274"/>
    </row>
    <row r="1240" spans="1:11" s="259" customFormat="1" ht="24" x14ac:dyDescent="0.55000000000000004">
      <c r="A1240" s="270" t="s">
        <v>347</v>
      </c>
      <c r="B1240" s="271" t="s">
        <v>457</v>
      </c>
      <c r="C1240" s="284"/>
      <c r="D1240" s="284"/>
      <c r="E1240" s="284"/>
      <c r="F1240" s="285"/>
      <c r="G1240" s="286"/>
      <c r="H1240" s="287">
        <v>500</v>
      </c>
      <c r="I1240" s="288"/>
      <c r="J1240" s="274"/>
    </row>
    <row r="1241" spans="1:11" s="259" customFormat="1" ht="24" x14ac:dyDescent="0.55000000000000004">
      <c r="A1241" s="270"/>
      <c r="B1241" s="271" t="s">
        <v>458</v>
      </c>
      <c r="C1241" s="284"/>
      <c r="D1241" s="284"/>
      <c r="E1241" s="284"/>
      <c r="F1241" s="285"/>
      <c r="G1241" s="286"/>
      <c r="H1241" s="287"/>
      <c r="I1241" s="288"/>
      <c r="J1241" s="274"/>
    </row>
    <row r="1242" spans="1:11" s="259" customFormat="1" ht="24" x14ac:dyDescent="0.55000000000000004">
      <c r="A1242" s="270" t="s">
        <v>355</v>
      </c>
      <c r="B1242" s="271" t="s">
        <v>459</v>
      </c>
      <c r="C1242" s="284"/>
      <c r="D1242" s="284"/>
      <c r="E1242" s="284"/>
      <c r="F1242" s="285"/>
      <c r="G1242" s="286"/>
      <c r="H1242" s="287">
        <v>500</v>
      </c>
      <c r="I1242" s="288"/>
      <c r="J1242" s="274"/>
    </row>
    <row r="1243" spans="1:11" s="259" customFormat="1" ht="24" x14ac:dyDescent="0.55000000000000004">
      <c r="A1243" s="270"/>
      <c r="B1243" s="271" t="s">
        <v>460</v>
      </c>
      <c r="C1243" s="284"/>
      <c r="D1243" s="284"/>
      <c r="E1243" s="284"/>
      <c r="F1243" s="285"/>
      <c r="G1243" s="286"/>
      <c r="H1243" s="287"/>
      <c r="I1243" s="288"/>
      <c r="J1243" s="274"/>
    </row>
    <row r="1244" spans="1:11" s="289" customFormat="1" ht="24" x14ac:dyDescent="0.55000000000000004">
      <c r="A1244" s="290" t="s">
        <v>357</v>
      </c>
      <c r="B1244" s="271" t="s">
        <v>353</v>
      </c>
      <c r="C1244" s="271"/>
      <c r="D1244" s="271"/>
      <c r="E1244" s="271"/>
      <c r="F1244" s="272"/>
      <c r="G1244" s="286">
        <v>412128</v>
      </c>
      <c r="H1244" s="274">
        <v>1000</v>
      </c>
      <c r="I1244" s="275">
        <f>50+50+50+100+50+70+50</f>
        <v>420</v>
      </c>
      <c r="J1244" s="274">
        <v>50</v>
      </c>
    </row>
    <row r="1245" spans="1:11" s="289" customFormat="1" ht="24" x14ac:dyDescent="0.55000000000000004">
      <c r="A1245" s="290" t="s">
        <v>359</v>
      </c>
      <c r="B1245" s="271" t="s">
        <v>461</v>
      </c>
      <c r="C1245" s="271"/>
      <c r="D1245" s="271"/>
      <c r="E1245" s="271"/>
      <c r="F1245" s="272"/>
      <c r="G1245" s="286"/>
      <c r="H1245" s="274">
        <v>500</v>
      </c>
      <c r="I1245" s="275"/>
      <c r="J1245" s="274"/>
      <c r="K1245" s="289">
        <v>1</v>
      </c>
    </row>
    <row r="1246" spans="1:11" s="289" customFormat="1" ht="24" x14ac:dyDescent="0.55000000000000004">
      <c r="A1246" s="270" t="s">
        <v>361</v>
      </c>
      <c r="B1246" s="271" t="s">
        <v>354</v>
      </c>
      <c r="C1246" s="271"/>
      <c r="D1246" s="271"/>
      <c r="E1246" s="271"/>
      <c r="F1246" s="272"/>
      <c r="G1246" s="286">
        <v>412199</v>
      </c>
      <c r="H1246" s="274">
        <v>1500</v>
      </c>
      <c r="I1246" s="275">
        <f>200+10+10+20+20+10</f>
        <v>270</v>
      </c>
      <c r="J1246" s="274">
        <v>10</v>
      </c>
    </row>
    <row r="1247" spans="1:11" s="289" customFormat="1" ht="24" x14ac:dyDescent="0.55000000000000004">
      <c r="A1247" s="270" t="s">
        <v>363</v>
      </c>
      <c r="B1247" s="271" t="s">
        <v>356</v>
      </c>
      <c r="C1247" s="271"/>
      <c r="D1247" s="271"/>
      <c r="E1247" s="271"/>
      <c r="F1247" s="272"/>
      <c r="G1247" s="286"/>
      <c r="H1247" s="274">
        <v>1500</v>
      </c>
      <c r="I1247" s="275">
        <f>200+650+200+450</f>
        <v>1500</v>
      </c>
      <c r="J1247" s="274"/>
    </row>
    <row r="1248" spans="1:11" s="289" customFormat="1" ht="24" x14ac:dyDescent="0.55000000000000004">
      <c r="A1248" s="270" t="s">
        <v>365</v>
      </c>
      <c r="B1248" s="271" t="s">
        <v>358</v>
      </c>
      <c r="C1248" s="271"/>
      <c r="D1248" s="271"/>
      <c r="E1248" s="271"/>
      <c r="F1248" s="272"/>
      <c r="G1248" s="286"/>
      <c r="H1248" s="274">
        <v>50000</v>
      </c>
      <c r="I1248" s="275">
        <v>84320</v>
      </c>
      <c r="J1248" s="274"/>
    </row>
    <row r="1249" spans="1:10" s="289" customFormat="1" ht="24" x14ac:dyDescent="0.55000000000000004">
      <c r="A1249" s="270" t="s">
        <v>367</v>
      </c>
      <c r="B1249" s="271" t="s">
        <v>360</v>
      </c>
      <c r="C1249" s="271"/>
      <c r="D1249" s="271"/>
      <c r="E1249" s="271"/>
      <c r="F1249" s="272"/>
      <c r="G1249" s="286">
        <v>412211</v>
      </c>
      <c r="H1249" s="274">
        <v>500</v>
      </c>
      <c r="I1249" s="275"/>
      <c r="J1249" s="274"/>
    </row>
    <row r="1250" spans="1:10" s="291" customFormat="1" ht="24" x14ac:dyDescent="0.55000000000000004">
      <c r="A1250" s="270" t="s">
        <v>369</v>
      </c>
      <c r="B1250" s="291" t="s">
        <v>362</v>
      </c>
      <c r="F1250" s="292"/>
      <c r="G1250" s="293">
        <v>412299</v>
      </c>
      <c r="H1250" s="294">
        <v>500</v>
      </c>
      <c r="I1250" s="295"/>
      <c r="J1250" s="294"/>
    </row>
    <row r="1251" spans="1:10" s="265" customFormat="1" ht="24" x14ac:dyDescent="0.55000000000000004">
      <c r="A1251" s="270" t="s">
        <v>371</v>
      </c>
      <c r="B1251" s="291" t="s">
        <v>462</v>
      </c>
      <c r="C1251" s="291"/>
      <c r="D1251" s="291"/>
      <c r="E1251" s="291"/>
      <c r="F1251" s="292"/>
      <c r="G1251" s="293"/>
      <c r="H1251" s="294">
        <v>500</v>
      </c>
      <c r="I1251" s="295"/>
      <c r="J1251" s="294"/>
    </row>
    <row r="1252" spans="1:10" s="289" customFormat="1" ht="24" x14ac:dyDescent="0.55000000000000004">
      <c r="A1252" s="270" t="s">
        <v>373</v>
      </c>
      <c r="B1252" s="291" t="s">
        <v>364</v>
      </c>
      <c r="C1252" s="291"/>
      <c r="D1252" s="291"/>
      <c r="E1252" s="291"/>
      <c r="F1252" s="292"/>
      <c r="G1252" s="296">
        <v>412303</v>
      </c>
      <c r="H1252" s="294">
        <v>500</v>
      </c>
      <c r="I1252" s="295">
        <v>100</v>
      </c>
      <c r="J1252" s="294"/>
    </row>
    <row r="1253" spans="1:10" s="289" customFormat="1" ht="24" x14ac:dyDescent="0.55000000000000004">
      <c r="A1253" s="270" t="s">
        <v>463</v>
      </c>
      <c r="B1253" s="271" t="s">
        <v>366</v>
      </c>
      <c r="C1253" s="271"/>
      <c r="D1253" s="271"/>
      <c r="E1253" s="271"/>
      <c r="F1253" s="272"/>
      <c r="G1253" s="273">
        <v>412304</v>
      </c>
      <c r="H1253" s="274">
        <v>500</v>
      </c>
      <c r="I1253" s="275"/>
      <c r="J1253" s="274"/>
    </row>
    <row r="1254" spans="1:10" s="289" customFormat="1" ht="24" x14ac:dyDescent="0.55000000000000004">
      <c r="A1254" s="270" t="s">
        <v>464</v>
      </c>
      <c r="B1254" s="271" t="s">
        <v>368</v>
      </c>
      <c r="C1254" s="271"/>
      <c r="D1254" s="271"/>
      <c r="E1254" s="271"/>
      <c r="F1254" s="272"/>
      <c r="G1254" s="273">
        <v>412305</v>
      </c>
      <c r="H1254" s="274">
        <v>500</v>
      </c>
      <c r="I1254" s="275"/>
      <c r="J1254" s="274"/>
    </row>
    <row r="1255" spans="1:10" s="289" customFormat="1" ht="24" x14ac:dyDescent="0.55000000000000004">
      <c r="A1255" s="270" t="s">
        <v>465</v>
      </c>
      <c r="B1255" s="271" t="s">
        <v>370</v>
      </c>
      <c r="C1255" s="271"/>
      <c r="D1255" s="271"/>
      <c r="E1255" s="271"/>
      <c r="F1255" s="272"/>
      <c r="G1255" s="273">
        <v>412306</v>
      </c>
      <c r="H1255" s="276">
        <v>500</v>
      </c>
      <c r="I1255" s="277"/>
      <c r="J1255" s="274"/>
    </row>
    <row r="1256" spans="1:10" s="289" customFormat="1" ht="24" x14ac:dyDescent="0.55000000000000004">
      <c r="A1256" s="270" t="s">
        <v>466</v>
      </c>
      <c r="B1256" s="271" t="s">
        <v>372</v>
      </c>
      <c r="C1256" s="271"/>
      <c r="D1256" s="271"/>
      <c r="E1256" s="271"/>
      <c r="F1256" s="272"/>
      <c r="G1256" s="273">
        <v>412307</v>
      </c>
      <c r="H1256" s="276">
        <v>2000</v>
      </c>
      <c r="I1256" s="277">
        <f>20+20+40+80+20+60+40+100</f>
        <v>380</v>
      </c>
      <c r="J1256" s="274">
        <v>100</v>
      </c>
    </row>
    <row r="1257" spans="1:10" s="289" customFormat="1" ht="24" x14ac:dyDescent="0.55000000000000004">
      <c r="A1257" s="270" t="s">
        <v>467</v>
      </c>
      <c r="B1257" s="271" t="s">
        <v>374</v>
      </c>
      <c r="C1257" s="271"/>
      <c r="D1257" s="271"/>
      <c r="E1257" s="271"/>
      <c r="F1257" s="272"/>
      <c r="G1257" s="273">
        <v>412399</v>
      </c>
      <c r="H1257" s="276">
        <v>500</v>
      </c>
      <c r="I1257" s="277">
        <f>70+30+20+500+500</f>
        <v>1120</v>
      </c>
      <c r="J1257" s="268"/>
    </row>
    <row r="1258" spans="1:10" s="289" customFormat="1" ht="24" x14ac:dyDescent="0.55000000000000004">
      <c r="A1258" s="305"/>
      <c r="B1258" s="306"/>
      <c r="C1258" s="306"/>
      <c r="D1258" s="306"/>
      <c r="E1258" s="847"/>
      <c r="F1258" s="848"/>
      <c r="G1258" s="396"/>
      <c r="H1258" s="299">
        <f>SUM(H1236:H1257)</f>
        <v>83000</v>
      </c>
      <c r="I1258" s="300">
        <f>SUM(I1236:I1257)</f>
        <v>95506</v>
      </c>
      <c r="J1258" s="299">
        <f>SUM(J1236:J1257)</f>
        <v>3364.8</v>
      </c>
    </row>
    <row r="1263" spans="1:10" s="289" customFormat="1" ht="24" x14ac:dyDescent="0.55000000000000004">
      <c r="A1263" s="858" t="s">
        <v>455</v>
      </c>
      <c r="B1263" s="858"/>
      <c r="C1263" s="858"/>
      <c r="D1263" s="858"/>
      <c r="E1263" s="858"/>
      <c r="F1263" s="858"/>
      <c r="G1263" s="858"/>
      <c r="H1263" s="858"/>
      <c r="I1263" s="858"/>
      <c r="J1263" s="858"/>
    </row>
    <row r="1264" spans="1:10" s="289" customFormat="1" ht="24" x14ac:dyDescent="0.55000000000000004">
      <c r="A1264" s="395"/>
      <c r="B1264" s="395"/>
      <c r="C1264" s="395"/>
      <c r="D1264" s="395"/>
      <c r="E1264" s="395"/>
      <c r="F1264" s="395"/>
      <c r="G1264" s="395"/>
      <c r="H1264" s="395"/>
      <c r="I1264" s="395"/>
      <c r="J1264" s="395"/>
    </row>
    <row r="1265" spans="1:11" s="259" customFormat="1" ht="24" x14ac:dyDescent="0.55000000000000004">
      <c r="A1265" s="855"/>
      <c r="B1265" s="856"/>
      <c r="C1265" s="856"/>
      <c r="D1265" s="856"/>
      <c r="E1265" s="856"/>
      <c r="F1265" s="857"/>
      <c r="G1265" s="260" t="s">
        <v>78</v>
      </c>
      <c r="H1265" s="260" t="s">
        <v>6</v>
      </c>
      <c r="I1265" s="261" t="s">
        <v>335</v>
      </c>
      <c r="J1265" s="262" t="s">
        <v>336</v>
      </c>
    </row>
    <row r="1266" spans="1:11" s="289" customFormat="1" ht="24" x14ac:dyDescent="0.55000000000000004">
      <c r="A1266" s="301" t="s">
        <v>375</v>
      </c>
      <c r="B1266" s="302"/>
      <c r="C1266" s="302"/>
      <c r="D1266" s="271"/>
      <c r="E1266" s="271"/>
      <c r="F1266" s="272"/>
      <c r="G1266" s="298"/>
      <c r="H1266" s="268"/>
      <c r="I1266" s="269"/>
      <c r="J1266" s="268"/>
    </row>
    <row r="1267" spans="1:11" s="289" customFormat="1" ht="24" x14ac:dyDescent="0.55000000000000004">
      <c r="A1267" s="270" t="s">
        <v>339</v>
      </c>
      <c r="B1267" s="271" t="s">
        <v>376</v>
      </c>
      <c r="C1267" s="271"/>
      <c r="D1267" s="271"/>
      <c r="E1267" s="271"/>
      <c r="F1267" s="272"/>
      <c r="G1267" s="273">
        <v>413003</v>
      </c>
      <c r="H1267" s="276">
        <v>100000</v>
      </c>
      <c r="I1267" s="277">
        <f>33122.75+16284.37</f>
        <v>49407.12</v>
      </c>
      <c r="J1267" s="274"/>
    </row>
    <row r="1268" spans="1:11" s="259" customFormat="1" ht="24" x14ac:dyDescent="0.55000000000000004">
      <c r="A1268" s="270" t="s">
        <v>341</v>
      </c>
      <c r="B1268" s="271" t="s">
        <v>377</v>
      </c>
      <c r="C1268" s="271"/>
      <c r="D1268" s="271"/>
      <c r="E1268" s="271"/>
      <c r="F1268" s="272"/>
      <c r="G1268" s="273">
        <v>413999</v>
      </c>
      <c r="H1268" s="276">
        <v>10000</v>
      </c>
      <c r="I1268" s="277">
        <v>0</v>
      </c>
      <c r="J1268" s="268">
        <v>0</v>
      </c>
    </row>
    <row r="1269" spans="1:11" s="259" customFormat="1" ht="24" x14ac:dyDescent="0.55000000000000004">
      <c r="A1269" s="270"/>
      <c r="B1269" s="271"/>
      <c r="C1269" s="271"/>
      <c r="D1269" s="271"/>
      <c r="E1269" s="271"/>
      <c r="F1269" s="272"/>
      <c r="G1269" s="273"/>
      <c r="H1269" s="299">
        <f>SUM(H1267:H1268)</f>
        <v>110000</v>
      </c>
      <c r="I1269" s="300">
        <f>SUM(I1267:I1268)</f>
        <v>49407.12</v>
      </c>
      <c r="J1269" s="299">
        <f>SUM(J1267:J1268)</f>
        <v>0</v>
      </c>
    </row>
    <row r="1270" spans="1:11" s="289" customFormat="1" ht="24" x14ac:dyDescent="0.55000000000000004">
      <c r="A1270" s="301" t="s">
        <v>378</v>
      </c>
      <c r="B1270" s="302"/>
      <c r="C1270" s="302"/>
      <c r="D1270" s="302"/>
      <c r="E1270" s="302"/>
      <c r="F1270" s="272"/>
      <c r="G1270" s="298"/>
      <c r="H1270" s="268"/>
      <c r="I1270" s="269"/>
      <c r="J1270" s="268"/>
    </row>
    <row r="1271" spans="1:11" s="289" customFormat="1" ht="24" x14ac:dyDescent="0.55000000000000004">
      <c r="A1271" s="270"/>
      <c r="B1271" s="271" t="s">
        <v>21</v>
      </c>
      <c r="C1271" s="271"/>
      <c r="D1271" s="271"/>
      <c r="E1271" s="271"/>
      <c r="F1271" s="272"/>
      <c r="G1271" s="273">
        <v>414006</v>
      </c>
      <c r="H1271" s="274">
        <v>1000000</v>
      </c>
      <c r="I1271" s="275">
        <f>41213+40907+47749+76891+68560+118069+65793+43770+118003</f>
        <v>620955</v>
      </c>
      <c r="J1271" s="274">
        <v>118003</v>
      </c>
    </row>
    <row r="1272" spans="1:11" s="289" customFormat="1" ht="24" x14ac:dyDescent="0.55000000000000004">
      <c r="A1272" s="270" t="s">
        <v>341</v>
      </c>
      <c r="B1272" s="271" t="s">
        <v>379</v>
      </c>
      <c r="C1272" s="271"/>
      <c r="D1272" s="271"/>
      <c r="E1272" s="271"/>
      <c r="F1272" s="272"/>
      <c r="G1272" s="273">
        <v>414999</v>
      </c>
      <c r="H1272" s="268">
        <v>5000</v>
      </c>
      <c r="I1272" s="269">
        <f>200+200+200+400+200+400+400+200+200</f>
        <v>2400</v>
      </c>
      <c r="J1272" s="303">
        <v>200</v>
      </c>
    </row>
    <row r="1273" spans="1:11" s="289" customFormat="1" ht="24" x14ac:dyDescent="0.55000000000000004">
      <c r="A1273" s="391"/>
      <c r="B1273" s="392"/>
      <c r="C1273" s="392"/>
      <c r="D1273" s="392"/>
      <c r="E1273" s="859" t="s">
        <v>151</v>
      </c>
      <c r="F1273" s="860"/>
      <c r="G1273" s="393"/>
      <c r="H1273" s="299">
        <f>SUM(H1271:H1272)</f>
        <v>1005000</v>
      </c>
      <c r="I1273" s="300">
        <f>SUM(I1271:I1272)</f>
        <v>623355</v>
      </c>
      <c r="J1273" s="299">
        <f>SUM(J1271:J1272)</f>
        <v>118203</v>
      </c>
    </row>
    <row r="1274" spans="1:11" s="289" customFormat="1" ht="24" x14ac:dyDescent="0.55000000000000004">
      <c r="A1274" s="301" t="s">
        <v>380</v>
      </c>
      <c r="B1274" s="302"/>
      <c r="C1274" s="302"/>
      <c r="D1274" s="271"/>
      <c r="E1274" s="271"/>
      <c r="F1274" s="272"/>
      <c r="G1274" s="298"/>
      <c r="H1274" s="268"/>
      <c r="I1274" s="269"/>
      <c r="J1274" s="268"/>
    </row>
    <row r="1275" spans="1:11" s="289" customFormat="1" ht="24" x14ac:dyDescent="0.55000000000000004">
      <c r="A1275" s="270" t="s">
        <v>339</v>
      </c>
      <c r="B1275" s="271" t="s">
        <v>381</v>
      </c>
      <c r="C1275" s="271"/>
      <c r="D1275" s="271"/>
      <c r="E1275" s="271"/>
      <c r="F1275" s="272"/>
      <c r="G1275" s="273">
        <v>415004</v>
      </c>
      <c r="H1275" s="274">
        <v>80000</v>
      </c>
      <c r="I1275" s="277">
        <f>3000+7200+1800+4500</f>
        <v>16500</v>
      </c>
      <c r="J1275" s="274"/>
      <c r="K1275" s="289">
        <v>2</v>
      </c>
    </row>
    <row r="1276" spans="1:11" s="289" customFormat="1" ht="24" x14ac:dyDescent="0.55000000000000004">
      <c r="A1276" s="270" t="s">
        <v>341</v>
      </c>
      <c r="B1276" s="271" t="s">
        <v>382</v>
      </c>
      <c r="C1276" s="271"/>
      <c r="D1276" s="271"/>
      <c r="E1276" s="271"/>
      <c r="F1276" s="272"/>
      <c r="G1276" s="273">
        <v>415999</v>
      </c>
      <c r="H1276" s="276">
        <v>10000</v>
      </c>
      <c r="I1276" s="277">
        <f>500+376417.34</f>
        <v>376917.34</v>
      </c>
      <c r="J1276" s="268"/>
    </row>
    <row r="1277" spans="1:11" s="289" customFormat="1" ht="24" x14ac:dyDescent="0.55000000000000004">
      <c r="A1277" s="270"/>
      <c r="B1277" s="271"/>
      <c r="C1277" s="271"/>
      <c r="D1277" s="271"/>
      <c r="E1277" s="271"/>
      <c r="F1277" s="272"/>
      <c r="G1277" s="273"/>
      <c r="H1277" s="299">
        <f>SUM(H1275:H1276)</f>
        <v>90000</v>
      </c>
      <c r="I1277" s="300">
        <f>SUM(I1275:I1276)</f>
        <v>393417.34</v>
      </c>
      <c r="J1277" s="299">
        <f>SUM(J1275:J1276)</f>
        <v>0</v>
      </c>
    </row>
    <row r="1278" spans="1:11" s="289" customFormat="1" ht="24" x14ac:dyDescent="0.55000000000000004">
      <c r="A1278" s="301" t="s">
        <v>383</v>
      </c>
      <c r="B1278" s="302"/>
      <c r="C1278" s="302"/>
      <c r="D1278" s="271"/>
      <c r="E1278" s="271"/>
      <c r="F1278" s="272"/>
      <c r="G1278" s="298"/>
      <c r="H1278" s="268"/>
      <c r="I1278" s="269"/>
      <c r="J1278" s="268"/>
    </row>
    <row r="1279" spans="1:11" s="289" customFormat="1" ht="24" x14ac:dyDescent="0.55000000000000004">
      <c r="A1279" s="270" t="s">
        <v>339</v>
      </c>
      <c r="B1279" s="271" t="s">
        <v>384</v>
      </c>
      <c r="C1279" s="271"/>
      <c r="D1279" s="271"/>
      <c r="E1279" s="271"/>
      <c r="F1279" s="272"/>
      <c r="G1279" s="273">
        <v>416001</v>
      </c>
      <c r="H1279" s="274">
        <v>2000</v>
      </c>
      <c r="I1279" s="277">
        <v>3665</v>
      </c>
      <c r="J1279" s="274">
        <v>0</v>
      </c>
    </row>
    <row r="1280" spans="1:11" s="289" customFormat="1" ht="24" x14ac:dyDescent="0.55000000000000004">
      <c r="A1280" s="270" t="s">
        <v>341</v>
      </c>
      <c r="B1280" s="271" t="s">
        <v>385</v>
      </c>
      <c r="C1280" s="271"/>
      <c r="D1280" s="271"/>
      <c r="E1280" s="271"/>
      <c r="F1280" s="272"/>
      <c r="G1280" s="273">
        <v>416999</v>
      </c>
      <c r="H1280" s="276">
        <v>0</v>
      </c>
      <c r="I1280" s="277">
        <v>0</v>
      </c>
      <c r="J1280" s="268">
        <v>0</v>
      </c>
    </row>
    <row r="1281" spans="1:10" s="289" customFormat="1" ht="24" x14ac:dyDescent="0.55000000000000004">
      <c r="A1281" s="270"/>
      <c r="B1281" s="271"/>
      <c r="C1281" s="271"/>
      <c r="D1281" s="271"/>
      <c r="E1281" s="271"/>
      <c r="F1281" s="272"/>
      <c r="G1281" s="273"/>
      <c r="H1281" s="299">
        <f>SUM(H1279:H1280)</f>
        <v>2000</v>
      </c>
      <c r="I1281" s="300">
        <f>SUM(I1279:I1280)</f>
        <v>3665</v>
      </c>
      <c r="J1281" s="299">
        <f>SUM(J1279:J1280)</f>
        <v>0</v>
      </c>
    </row>
    <row r="1282" spans="1:10" s="289" customFormat="1" ht="24" x14ac:dyDescent="0.55000000000000004">
      <c r="A1282" s="304" t="s">
        <v>386</v>
      </c>
      <c r="B1282" s="271"/>
      <c r="C1282" s="271"/>
      <c r="D1282" s="271"/>
      <c r="E1282" s="271"/>
      <c r="F1282" s="272"/>
      <c r="G1282" s="273"/>
      <c r="H1282" s="268"/>
      <c r="I1282" s="269"/>
      <c r="J1282" s="268"/>
    </row>
    <row r="1283" spans="1:10" s="259" customFormat="1" ht="24" x14ac:dyDescent="0.55000000000000004">
      <c r="A1283" s="270" t="s">
        <v>339</v>
      </c>
      <c r="B1283" s="271" t="s">
        <v>387</v>
      </c>
      <c r="C1283" s="271"/>
      <c r="D1283" s="271"/>
      <c r="E1283" s="271"/>
      <c r="F1283" s="272"/>
      <c r="G1283" s="273">
        <v>421002</v>
      </c>
      <c r="H1283" s="274">
        <v>7000000</v>
      </c>
      <c r="I1283" s="274">
        <f>576013.89+578421.62+586350.36+110502.39+605668.57+625606.99+622485.21+626432.16+541661.25</f>
        <v>4873142.4400000004</v>
      </c>
      <c r="J1283" s="274">
        <v>541661.25</v>
      </c>
    </row>
    <row r="1284" spans="1:10" s="259" customFormat="1" ht="24" x14ac:dyDescent="0.55000000000000004">
      <c r="A1284" s="270" t="s">
        <v>341</v>
      </c>
      <c r="B1284" s="271" t="s">
        <v>388</v>
      </c>
      <c r="C1284" s="271"/>
      <c r="D1284" s="271"/>
      <c r="E1284" s="271"/>
      <c r="F1284" s="272"/>
      <c r="G1284" s="273">
        <v>421004</v>
      </c>
      <c r="H1284" s="274">
        <v>1500000</v>
      </c>
      <c r="I1284" s="274">
        <f>113953.78+131505.43+128502.61+128239.4+124886.95+141721.59+115012.16</f>
        <v>883821.91999999993</v>
      </c>
      <c r="J1284" s="274">
        <v>115012.16</v>
      </c>
    </row>
    <row r="1285" spans="1:10" s="259" customFormat="1" ht="24" x14ac:dyDescent="0.55000000000000004">
      <c r="A1285" s="270" t="s">
        <v>343</v>
      </c>
      <c r="B1285" s="271" t="s">
        <v>389</v>
      </c>
      <c r="C1285" s="271"/>
      <c r="D1285" s="271"/>
      <c r="E1285" s="271"/>
      <c r="F1285" s="272"/>
      <c r="G1285" s="273">
        <v>421005</v>
      </c>
      <c r="H1285" s="274">
        <v>100000</v>
      </c>
      <c r="I1285" s="274">
        <f>2747.3+3451.03+11616.96+6332.98+5128.71+6834.08</f>
        <v>36111.06</v>
      </c>
      <c r="J1285" s="274">
        <v>6834.08</v>
      </c>
    </row>
    <row r="1286" spans="1:10" s="259" customFormat="1" ht="24" x14ac:dyDescent="0.55000000000000004">
      <c r="A1286" s="270" t="s">
        <v>345</v>
      </c>
      <c r="B1286" s="271" t="s">
        <v>390</v>
      </c>
      <c r="C1286" s="271"/>
      <c r="D1286" s="271"/>
      <c r="E1286" s="271"/>
      <c r="F1286" s="272"/>
      <c r="G1286" s="273">
        <v>421006</v>
      </c>
      <c r="H1286" s="274">
        <v>700000</v>
      </c>
      <c r="I1286" s="274">
        <f>47274.97+53800.47+56240.22+68576.03+61149.91+92271.74+45739.07</f>
        <v>425052.41</v>
      </c>
      <c r="J1286" s="274">
        <v>45739.07</v>
      </c>
    </row>
    <row r="1287" spans="1:10" s="259" customFormat="1" ht="24" x14ac:dyDescent="0.55000000000000004">
      <c r="A1287" s="270" t="s">
        <v>347</v>
      </c>
      <c r="B1287" s="271" t="s">
        <v>391</v>
      </c>
      <c r="C1287" s="271"/>
      <c r="D1287" s="271"/>
      <c r="E1287" s="271"/>
      <c r="F1287" s="272"/>
      <c r="G1287" s="273">
        <v>421007</v>
      </c>
      <c r="H1287" s="274">
        <v>1000000</v>
      </c>
      <c r="I1287" s="275">
        <f>102069.72+113369.21+155.2+106077+125885.21+147366.97+141805.55+118179.77-155.2-252.2-213.4-213.4</f>
        <v>854074.43000000017</v>
      </c>
      <c r="J1287" s="274">
        <v>118179.77</v>
      </c>
    </row>
    <row r="1288" spans="1:10" s="259" customFormat="1" ht="24" x14ac:dyDescent="0.55000000000000004">
      <c r="A1288" s="270" t="s">
        <v>355</v>
      </c>
      <c r="B1288" s="271" t="s">
        <v>468</v>
      </c>
      <c r="C1288" s="271"/>
      <c r="D1288" s="271"/>
      <c r="E1288" s="271"/>
      <c r="F1288" s="272"/>
      <c r="G1288" s="273">
        <v>421011</v>
      </c>
      <c r="H1288" s="274">
        <v>10000</v>
      </c>
      <c r="I1288" s="275"/>
      <c r="J1288" s="274"/>
    </row>
    <row r="1289" spans="1:10" s="259" customFormat="1" ht="24" x14ac:dyDescent="0.55000000000000004">
      <c r="A1289" s="290" t="s">
        <v>357</v>
      </c>
      <c r="B1289" s="259" t="s">
        <v>392</v>
      </c>
      <c r="G1289" s="273">
        <v>421012</v>
      </c>
      <c r="H1289" s="274">
        <v>30000</v>
      </c>
      <c r="I1289" s="275">
        <f>4875.42+6721.19</f>
        <v>11596.61</v>
      </c>
      <c r="J1289" s="274">
        <v>6721.19</v>
      </c>
    </row>
    <row r="1290" spans="1:10" s="259" customFormat="1" ht="24" x14ac:dyDescent="0.55000000000000004">
      <c r="A1290" s="290" t="s">
        <v>359</v>
      </c>
      <c r="B1290" s="271" t="s">
        <v>393</v>
      </c>
      <c r="C1290" s="271"/>
      <c r="D1290" s="271"/>
      <c r="E1290" s="271"/>
      <c r="F1290" s="272"/>
      <c r="G1290" s="273">
        <v>421013</v>
      </c>
      <c r="H1290" s="274">
        <v>40000</v>
      </c>
      <c r="I1290" s="275">
        <f>7014.11+6835.44+5210.71</f>
        <v>19060.259999999998</v>
      </c>
      <c r="J1290" s="274"/>
    </row>
    <row r="1291" spans="1:10" s="259" customFormat="1" ht="24" x14ac:dyDescent="0.55000000000000004">
      <c r="A1291" s="270" t="s">
        <v>361</v>
      </c>
      <c r="B1291" s="271" t="s">
        <v>394</v>
      </c>
      <c r="C1291" s="271"/>
      <c r="D1291" s="271"/>
      <c r="E1291" s="271"/>
      <c r="F1291" s="272"/>
      <c r="G1291" s="273">
        <v>421015</v>
      </c>
      <c r="H1291" s="274">
        <v>1000000</v>
      </c>
      <c r="I1291" s="275">
        <f>110381.75+16924+53331+72684+14094+155752+80580</f>
        <v>503746.75</v>
      </c>
      <c r="J1291" s="274">
        <v>80580</v>
      </c>
    </row>
    <row r="1292" spans="1:10" s="259" customFormat="1" ht="24" x14ac:dyDescent="0.55000000000000004">
      <c r="A1292" s="270" t="s">
        <v>363</v>
      </c>
      <c r="B1292" s="271" t="s">
        <v>395</v>
      </c>
      <c r="C1292" s="271"/>
      <c r="D1292" s="271"/>
      <c r="E1292" s="271"/>
      <c r="F1292" s="272"/>
      <c r="G1292" s="273">
        <v>421999</v>
      </c>
      <c r="H1292" s="274">
        <v>10000</v>
      </c>
      <c r="I1292" s="275"/>
      <c r="J1292" s="274"/>
    </row>
    <row r="1293" spans="1:10" s="259" customFormat="1" ht="24" x14ac:dyDescent="0.55000000000000004">
      <c r="A1293" s="270" t="s">
        <v>365</v>
      </c>
      <c r="B1293" s="271" t="s">
        <v>505</v>
      </c>
      <c r="C1293" s="271"/>
      <c r="D1293" s="271"/>
      <c r="E1293" s="271"/>
      <c r="F1293" s="272"/>
      <c r="G1293" s="273"/>
      <c r="H1293" s="268">
        <v>500000</v>
      </c>
      <c r="I1293" s="269">
        <f>767.81+34450.16+35453.95+35689.62+28991.29</f>
        <v>135352.83000000002</v>
      </c>
      <c r="J1293" s="268">
        <v>28991.29</v>
      </c>
    </row>
    <row r="1294" spans="1:10" s="289" customFormat="1" ht="24" x14ac:dyDescent="0.55000000000000004">
      <c r="A1294" s="297"/>
      <c r="B1294" s="271"/>
      <c r="C1294" s="271"/>
      <c r="D1294" s="271"/>
      <c r="E1294" s="861" t="s">
        <v>151</v>
      </c>
      <c r="F1294" s="862"/>
      <c r="G1294" s="298"/>
      <c r="H1294" s="299">
        <f>SUM(H1283:H1293)</f>
        <v>11890000</v>
      </c>
      <c r="I1294" s="300">
        <f>SUM(I1283:I1293)</f>
        <v>7741958.71</v>
      </c>
      <c r="J1294" s="299">
        <f>SUM(J1283:J1293)</f>
        <v>943718.80999999994</v>
      </c>
    </row>
    <row r="1295" spans="1:10" s="289" customFormat="1" ht="24" x14ac:dyDescent="0.55000000000000004">
      <c r="A1295" s="305"/>
      <c r="B1295" s="306"/>
      <c r="C1295" s="306"/>
      <c r="D1295" s="306"/>
      <c r="E1295" s="847"/>
      <c r="F1295" s="848"/>
      <c r="G1295" s="307"/>
      <c r="H1295" s="299"/>
      <c r="I1295" s="299"/>
      <c r="J1295" s="299"/>
    </row>
    <row r="1297" spans="1:10" s="289" customFormat="1" ht="24" x14ac:dyDescent="0.55000000000000004">
      <c r="A1297" s="849"/>
      <c r="B1297" s="849"/>
      <c r="C1297" s="849"/>
      <c r="D1297" s="849"/>
      <c r="G1297" s="265"/>
      <c r="H1297" s="258"/>
      <c r="I1297" s="258"/>
      <c r="J1297" s="258"/>
    </row>
    <row r="1298" spans="1:10" s="289" customFormat="1" ht="24" x14ac:dyDescent="0.55000000000000004">
      <c r="A1298" s="558"/>
      <c r="B1298" s="558"/>
      <c r="C1298" s="558"/>
      <c r="D1298" s="558"/>
      <c r="H1298" s="258"/>
      <c r="I1298" s="258"/>
      <c r="J1298" s="258"/>
    </row>
    <row r="1299" spans="1:10" s="289" customFormat="1" ht="24" x14ac:dyDescent="0.55000000000000004">
      <c r="A1299" s="558"/>
      <c r="B1299" s="558"/>
      <c r="C1299" s="558"/>
      <c r="D1299" s="558"/>
      <c r="H1299" s="258"/>
      <c r="I1299" s="258"/>
      <c r="J1299" s="258"/>
    </row>
    <row r="1300" spans="1:10" s="289" customFormat="1" ht="24" x14ac:dyDescent="0.55000000000000004">
      <c r="A1300" s="558"/>
      <c r="B1300" s="558"/>
      <c r="C1300" s="558"/>
      <c r="D1300" s="558"/>
      <c r="H1300" s="258"/>
      <c r="I1300" s="258"/>
      <c r="J1300" s="258"/>
    </row>
    <row r="1301" spans="1:10" s="289" customFormat="1" ht="24" x14ac:dyDescent="0.55000000000000004">
      <c r="A1301" s="558"/>
      <c r="B1301" s="558"/>
      <c r="C1301" s="558"/>
      <c r="D1301" s="558"/>
      <c r="H1301" s="258"/>
      <c r="I1301" s="258"/>
      <c r="J1301" s="258"/>
    </row>
    <row r="1302" spans="1:10" s="289" customFormat="1" ht="24" x14ac:dyDescent="0.55000000000000004">
      <c r="A1302" s="558"/>
      <c r="B1302" s="558"/>
      <c r="C1302" s="558"/>
      <c r="D1302" s="558"/>
      <c r="H1302" s="258"/>
      <c r="I1302" s="258"/>
      <c r="J1302" s="258"/>
    </row>
    <row r="1303" spans="1:10" s="289" customFormat="1" ht="24" x14ac:dyDescent="0.55000000000000004">
      <c r="A1303" s="558"/>
      <c r="B1303" s="558"/>
      <c r="C1303" s="558"/>
      <c r="D1303" s="558"/>
      <c r="F1303" s="558" t="s">
        <v>491</v>
      </c>
      <c r="H1303" s="258"/>
      <c r="I1303" s="258"/>
      <c r="J1303" s="258"/>
    </row>
    <row r="1304" spans="1:10" s="289" customFormat="1" ht="24" x14ac:dyDescent="0.55000000000000004">
      <c r="A1304" s="558"/>
      <c r="B1304" s="558"/>
      <c r="C1304" s="558"/>
      <c r="D1304" s="558"/>
      <c r="F1304" s="558"/>
      <c r="H1304" s="258"/>
      <c r="I1304" s="258"/>
      <c r="J1304" s="258"/>
    </row>
    <row r="1305" spans="1:10" s="289" customFormat="1" ht="24" x14ac:dyDescent="0.55000000000000004">
      <c r="A1305" s="850"/>
      <c r="B1305" s="851"/>
      <c r="C1305" s="851"/>
      <c r="D1305" s="851"/>
      <c r="E1305" s="851"/>
      <c r="F1305" s="852"/>
      <c r="G1305" s="411" t="s">
        <v>78</v>
      </c>
      <c r="H1305" s="411" t="s">
        <v>6</v>
      </c>
      <c r="I1305" s="261" t="s">
        <v>335</v>
      </c>
      <c r="J1305" s="412" t="s">
        <v>336</v>
      </c>
    </row>
    <row r="1306" spans="1:10" s="289" customFormat="1" ht="24" x14ac:dyDescent="0.55000000000000004">
      <c r="A1306" s="301" t="s">
        <v>396</v>
      </c>
      <c r="B1306" s="302"/>
      <c r="C1306" s="271"/>
      <c r="D1306" s="271"/>
      <c r="E1306" s="271"/>
      <c r="F1306" s="272"/>
      <c r="G1306" s="298"/>
      <c r="H1306" s="268"/>
      <c r="I1306" s="269"/>
      <c r="J1306" s="268"/>
    </row>
    <row r="1307" spans="1:10" s="289" customFormat="1" ht="24" x14ac:dyDescent="0.55000000000000004">
      <c r="A1307" s="270" t="s">
        <v>339</v>
      </c>
      <c r="B1307" s="271" t="s">
        <v>469</v>
      </c>
      <c r="C1307" s="271"/>
      <c r="D1307" s="271"/>
      <c r="E1307" s="271"/>
      <c r="F1307" s="272"/>
      <c r="G1307" s="273">
        <v>431002</v>
      </c>
      <c r="H1307" s="274">
        <v>4750000</v>
      </c>
      <c r="I1307" s="275">
        <f>976141+976141</f>
        <v>1952282</v>
      </c>
      <c r="J1307" s="274"/>
    </row>
    <row r="1308" spans="1:10" s="289" customFormat="1" ht="24" x14ac:dyDescent="0.55000000000000004">
      <c r="A1308" s="397"/>
      <c r="B1308" s="271" t="s">
        <v>470</v>
      </c>
      <c r="C1308" s="271"/>
      <c r="D1308" s="271"/>
      <c r="E1308" s="392"/>
      <c r="F1308" s="398"/>
      <c r="G1308" s="298"/>
      <c r="H1308" s="402"/>
      <c r="I1308" s="402"/>
      <c r="J1308" s="402"/>
    </row>
    <row r="1309" spans="1:10" s="289" customFormat="1" ht="24" x14ac:dyDescent="0.55000000000000004">
      <c r="A1309" s="397"/>
      <c r="B1309" s="271" t="s">
        <v>483</v>
      </c>
      <c r="C1309" s="271"/>
      <c r="D1309" s="392"/>
      <c r="E1309" s="392"/>
      <c r="F1309" s="398"/>
      <c r="G1309" s="298"/>
      <c r="H1309" s="402"/>
      <c r="I1309" s="407">
        <f>69514+158955+135460</f>
        <v>363929</v>
      </c>
      <c r="J1309" s="407"/>
    </row>
    <row r="1310" spans="1:10" s="289" customFormat="1" ht="24" x14ac:dyDescent="0.55000000000000004">
      <c r="A1310" s="397"/>
      <c r="B1310" s="271" t="s">
        <v>481</v>
      </c>
      <c r="C1310" s="271"/>
      <c r="D1310" s="392"/>
      <c r="E1310" s="392"/>
      <c r="F1310" s="398"/>
      <c r="G1310" s="298"/>
      <c r="H1310" s="402"/>
      <c r="I1310" s="407">
        <f>244000+244000+316000</f>
        <v>804000</v>
      </c>
      <c r="J1310" s="407"/>
    </row>
    <row r="1311" spans="1:10" s="289" customFormat="1" ht="24" x14ac:dyDescent="0.55000000000000004">
      <c r="A1311" s="397"/>
      <c r="B1311" s="271" t="s">
        <v>487</v>
      </c>
      <c r="C1311" s="271"/>
      <c r="D1311" s="271"/>
      <c r="E1311" s="271"/>
      <c r="F1311" s="272"/>
      <c r="G1311" s="298"/>
      <c r="H1311" s="274"/>
      <c r="I1311" s="275">
        <v>8000</v>
      </c>
      <c r="J1311" s="274"/>
    </row>
    <row r="1312" spans="1:10" s="289" customFormat="1" ht="24" x14ac:dyDescent="0.55000000000000004">
      <c r="A1312" s="397"/>
      <c r="B1312" s="291" t="s">
        <v>486</v>
      </c>
      <c r="C1312" s="291"/>
      <c r="D1312" s="291"/>
      <c r="E1312" s="265"/>
      <c r="F1312" s="266"/>
      <c r="G1312" s="402"/>
      <c r="H1312" s="274"/>
      <c r="I1312" s="275">
        <v>52500</v>
      </c>
      <c r="J1312" s="274"/>
    </row>
    <row r="1313" spans="1:10" s="289" customFormat="1" ht="24" x14ac:dyDescent="0.55000000000000004">
      <c r="A1313" s="397"/>
      <c r="B1313" s="271" t="s">
        <v>482</v>
      </c>
      <c r="C1313" s="271"/>
      <c r="D1313" s="271"/>
      <c r="E1313" s="392"/>
      <c r="F1313" s="398"/>
      <c r="G1313" s="402"/>
      <c r="H1313" s="274"/>
      <c r="I1313" s="275">
        <f>7500+7500+15000</f>
        <v>30000</v>
      </c>
      <c r="J1313" s="274"/>
    </row>
    <row r="1314" spans="1:10" s="289" customFormat="1" ht="24" x14ac:dyDescent="0.55000000000000004">
      <c r="A1314" s="397"/>
      <c r="B1314" s="392"/>
      <c r="C1314" s="392"/>
      <c r="D1314" s="392"/>
      <c r="E1314" s="392"/>
      <c r="F1314" s="398"/>
      <c r="G1314" s="402"/>
      <c r="H1314" s="274"/>
      <c r="I1314" s="275"/>
      <c r="J1314" s="274"/>
    </row>
    <row r="1315" spans="1:10" s="289" customFormat="1" ht="24" x14ac:dyDescent="0.55000000000000004">
      <c r="A1315" s="397"/>
      <c r="B1315" s="392"/>
      <c r="C1315" s="392"/>
      <c r="D1315" s="392"/>
      <c r="E1315" s="392"/>
      <c r="F1315" s="398"/>
      <c r="G1315" s="402"/>
      <c r="H1315" s="303"/>
      <c r="I1315" s="399"/>
      <c r="J1315" s="303"/>
    </row>
    <row r="1316" spans="1:10" s="289" customFormat="1" ht="24" x14ac:dyDescent="0.55000000000000004">
      <c r="A1316" s="305"/>
      <c r="B1316" s="306"/>
      <c r="C1316" s="306"/>
      <c r="D1316" s="306"/>
      <c r="E1316" s="847" t="s">
        <v>151</v>
      </c>
      <c r="F1316" s="848"/>
      <c r="G1316" s="307"/>
      <c r="H1316" s="299">
        <f>SUM(H1307)</f>
        <v>4750000</v>
      </c>
      <c r="I1316" s="299">
        <f>SUM(I1307:I1315)</f>
        <v>3210711</v>
      </c>
      <c r="J1316" s="299">
        <f>SUM(J1307:J1315)</f>
        <v>0</v>
      </c>
    </row>
    <row r="1317" spans="1:10" s="289" customFormat="1" ht="28.5" customHeight="1" thickBot="1" x14ac:dyDescent="0.6">
      <c r="A1317" s="464"/>
      <c r="B1317" s="461"/>
      <c r="C1317" s="461"/>
      <c r="D1317" s="461"/>
      <c r="E1317" s="462" t="s">
        <v>612</v>
      </c>
      <c r="F1317" s="463"/>
      <c r="G1317" s="463"/>
      <c r="H1317" s="309">
        <f>+H1234+H1258+H1269+H1273+H1277+H1281+H1294+H1316</f>
        <v>22000000</v>
      </c>
      <c r="I1317" s="309">
        <f>+I1234+I1258+I1269+I1273+I1277+I1281+I1294+I1316</f>
        <v>17223970.530000001</v>
      </c>
      <c r="J1317" s="309">
        <f>+J1234+J1258+J1269+J1273+J1277+J1281+J1294+J1316</f>
        <v>1065968.71</v>
      </c>
    </row>
    <row r="1318" spans="1:10" ht="24.75" thickTop="1" x14ac:dyDescent="0.55000000000000004">
      <c r="A1318" s="111"/>
      <c r="G1318" s="402"/>
      <c r="H1318" s="274"/>
      <c r="I1318" s="275"/>
      <c r="J1318" s="274"/>
    </row>
    <row r="1319" spans="1:10" ht="24" x14ac:dyDescent="0.55000000000000004">
      <c r="A1319" s="405" t="s">
        <v>477</v>
      </c>
      <c r="B1319" s="406"/>
      <c r="C1319" s="291"/>
      <c r="D1319" s="291"/>
      <c r="E1319" s="291"/>
      <c r="F1319" s="292"/>
      <c r="G1319" s="402"/>
      <c r="H1319" s="268"/>
      <c r="I1319" s="269"/>
      <c r="J1319" s="268"/>
    </row>
    <row r="1320" spans="1:10" ht="24" x14ac:dyDescent="0.55000000000000004">
      <c r="A1320" s="270" t="s">
        <v>339</v>
      </c>
      <c r="B1320" s="271" t="s">
        <v>476</v>
      </c>
      <c r="C1320" s="271"/>
      <c r="D1320" s="271"/>
      <c r="E1320" s="271"/>
      <c r="F1320" s="272"/>
      <c r="G1320" s="273"/>
      <c r="H1320" s="274"/>
      <c r="I1320" s="275"/>
      <c r="J1320" s="274"/>
    </row>
    <row r="1321" spans="1:10" ht="24" x14ac:dyDescent="0.55000000000000004">
      <c r="A1321" s="270"/>
      <c r="B1321" s="271" t="s">
        <v>484</v>
      </c>
      <c r="C1321" s="271"/>
      <c r="D1321" s="271"/>
      <c r="E1321" s="271"/>
      <c r="F1321" s="272"/>
      <c r="G1321" s="273"/>
      <c r="H1321" s="274"/>
      <c r="I1321" s="275">
        <f>1011900+674600+331700+657800+1206300</f>
        <v>3882300</v>
      </c>
      <c r="J1321" s="274">
        <v>1206300</v>
      </c>
    </row>
    <row r="1322" spans="1:10" ht="24" x14ac:dyDescent="0.55000000000000004">
      <c r="A1322" s="270"/>
      <c r="B1322" s="271" t="s">
        <v>485</v>
      </c>
      <c r="C1322" s="271"/>
      <c r="D1322" s="271"/>
      <c r="E1322" s="271"/>
      <c r="F1322" s="272"/>
      <c r="G1322" s="273"/>
      <c r="H1322" s="274"/>
      <c r="I1322" s="531">
        <f>136800+136800+45600+45600+164800</f>
        <v>529600</v>
      </c>
      <c r="J1322" s="274">
        <v>164800</v>
      </c>
    </row>
    <row r="1323" spans="1:10" ht="24" x14ac:dyDescent="0.55000000000000004">
      <c r="A1323" s="270"/>
      <c r="B1323" s="302" t="s">
        <v>488</v>
      </c>
      <c r="C1323" s="302"/>
      <c r="D1323" s="302"/>
      <c r="E1323" s="271"/>
      <c r="F1323" s="272"/>
      <c r="G1323" s="273"/>
      <c r="H1323" s="274"/>
      <c r="I1323" s="275"/>
      <c r="J1323" s="274"/>
    </row>
    <row r="1324" spans="1:10" ht="24" x14ac:dyDescent="0.55000000000000004">
      <c r="A1324" s="270"/>
      <c r="B1324" s="271" t="s">
        <v>478</v>
      </c>
      <c r="C1324" s="271"/>
      <c r="D1324" s="271"/>
      <c r="E1324" s="271"/>
      <c r="F1324" s="272"/>
      <c r="G1324" s="273"/>
      <c r="H1324" s="274"/>
      <c r="I1324" s="275">
        <v>50400</v>
      </c>
      <c r="J1324" s="274"/>
    </row>
    <row r="1325" spans="1:10" ht="24" x14ac:dyDescent="0.55000000000000004">
      <c r="A1325" s="270"/>
      <c r="B1325" s="271" t="s">
        <v>479</v>
      </c>
      <c r="C1325" s="271"/>
      <c r="D1325" s="271"/>
      <c r="E1325" s="271"/>
      <c r="F1325" s="272"/>
      <c r="G1325" s="273"/>
      <c r="H1325" s="274"/>
      <c r="I1325" s="275">
        <f>118290+78860+17955+160150</f>
        <v>375255</v>
      </c>
      <c r="J1325" s="274"/>
    </row>
    <row r="1326" spans="1:10" ht="24" x14ac:dyDescent="0.55000000000000004">
      <c r="A1326" s="270"/>
      <c r="B1326" s="271" t="s">
        <v>522</v>
      </c>
      <c r="C1326" s="271"/>
      <c r="D1326" s="271"/>
      <c r="E1326" s="271"/>
      <c r="F1326" s="272"/>
      <c r="G1326" s="273"/>
      <c r="H1326" s="274"/>
      <c r="I1326" s="275">
        <f>21800+68400+45600+91200</f>
        <v>227000</v>
      </c>
      <c r="J1326" s="274"/>
    </row>
    <row r="1327" spans="1:10" ht="24" x14ac:dyDescent="0.55000000000000004">
      <c r="A1327" s="270"/>
      <c r="B1327" s="271" t="s">
        <v>521</v>
      </c>
      <c r="C1327" s="271"/>
      <c r="D1327" s="271"/>
      <c r="E1327" s="271"/>
      <c r="F1327" s="272"/>
      <c r="G1327" s="273"/>
      <c r="H1327" s="274"/>
      <c r="I1327" s="275">
        <f>1090+3420+2280+4560</f>
        <v>11350</v>
      </c>
      <c r="J1327" s="274"/>
    </row>
    <row r="1328" spans="1:10" ht="24" x14ac:dyDescent="0.55000000000000004">
      <c r="A1328" s="270"/>
      <c r="B1328" s="271" t="s">
        <v>489</v>
      </c>
      <c r="C1328" s="271"/>
      <c r="D1328" s="271"/>
      <c r="E1328" s="271"/>
      <c r="F1328" s="272"/>
      <c r="G1328" s="273"/>
      <c r="H1328" s="274"/>
      <c r="I1328" s="275"/>
      <c r="J1328" s="274"/>
    </row>
    <row r="1329" spans="1:10" ht="24" x14ac:dyDescent="0.55000000000000004">
      <c r="A1329" s="270"/>
      <c r="B1329" s="271" t="s">
        <v>490</v>
      </c>
      <c r="C1329" s="271"/>
      <c r="D1329" s="271"/>
      <c r="E1329" s="271"/>
      <c r="F1329" s="272"/>
      <c r="G1329" s="273"/>
      <c r="H1329" s="274"/>
      <c r="I1329" s="275"/>
      <c r="J1329" s="274"/>
    </row>
    <row r="1330" spans="1:10" ht="24" x14ac:dyDescent="0.55000000000000004">
      <c r="A1330" s="270"/>
      <c r="B1330" s="271"/>
      <c r="C1330" s="271"/>
      <c r="D1330" s="271"/>
      <c r="E1330" s="271"/>
      <c r="F1330" s="272"/>
      <c r="G1330" s="273"/>
      <c r="H1330" s="274"/>
      <c r="I1330" s="275"/>
      <c r="J1330" s="274"/>
    </row>
    <row r="1331" spans="1:10" ht="24" x14ac:dyDescent="0.55000000000000004">
      <c r="A1331" s="270"/>
      <c r="B1331" s="271"/>
      <c r="C1331" s="271"/>
      <c r="D1331" s="271"/>
      <c r="E1331" s="271"/>
      <c r="F1331" s="272"/>
      <c r="G1331" s="273"/>
      <c r="H1331" s="274"/>
      <c r="I1331" s="275"/>
      <c r="J1331" s="274"/>
    </row>
    <row r="1332" spans="1:10" ht="24" x14ac:dyDescent="0.55000000000000004">
      <c r="A1332" s="305"/>
      <c r="B1332" s="306"/>
      <c r="C1332" s="306"/>
      <c r="D1332" s="306"/>
      <c r="E1332" s="847" t="s">
        <v>151</v>
      </c>
      <c r="F1332" s="848"/>
      <c r="G1332" s="307"/>
      <c r="H1332" s="299">
        <f>SUM(H1321:H1331)</f>
        <v>0</v>
      </c>
      <c r="I1332" s="299">
        <f>SUM(I1321:I1331)</f>
        <v>5075905</v>
      </c>
      <c r="J1332" s="299">
        <f>SUM(J1319:J1331)</f>
        <v>1371100</v>
      </c>
    </row>
    <row r="1333" spans="1:10" ht="24.75" thickBot="1" x14ac:dyDescent="0.6">
      <c r="A1333" s="428"/>
      <c r="B1333" s="265"/>
      <c r="C1333" s="265"/>
      <c r="D1333" s="265"/>
      <c r="E1333" s="420" t="s">
        <v>506</v>
      </c>
      <c r="G1333" s="265"/>
      <c r="H1333" s="425">
        <f>SUM(H1332)</f>
        <v>0</v>
      </c>
      <c r="I1333" s="425">
        <f>SUM(I1332)</f>
        <v>5075905</v>
      </c>
      <c r="J1333" s="425">
        <f>SUM(J1332)</f>
        <v>1371100</v>
      </c>
    </row>
    <row r="1334" spans="1:10" ht="24" x14ac:dyDescent="0.55000000000000004">
      <c r="A1334" s="421"/>
      <c r="B1334" s="422"/>
      <c r="C1334" s="422"/>
      <c r="D1334" s="422"/>
      <c r="E1334" s="423" t="s">
        <v>613</v>
      </c>
      <c r="F1334" s="161"/>
      <c r="G1334" s="424"/>
      <c r="H1334" s="426"/>
      <c r="I1334" s="426">
        <f>+I1333+I1317</f>
        <v>22299875.530000001</v>
      </c>
      <c r="J1334" s="427">
        <f>+J1333+J1317</f>
        <v>2437068.71</v>
      </c>
    </row>
    <row r="1335" spans="1:10" s="289" customFormat="1" ht="24" x14ac:dyDescent="0.55000000000000004"/>
    <row r="1336" spans="1:10" s="312" customFormat="1" ht="24" x14ac:dyDescent="0.55000000000000004"/>
    <row r="1337" spans="1:10" s="312" customFormat="1" ht="24" x14ac:dyDescent="0.55000000000000004"/>
    <row r="1338" spans="1:10" s="312" customFormat="1" ht="24" x14ac:dyDescent="0.55000000000000004"/>
    <row r="1343" spans="1:10" s="289" customFormat="1" ht="24" x14ac:dyDescent="0.55000000000000004">
      <c r="A1343" s="564"/>
      <c r="B1343" s="564"/>
      <c r="C1343" s="564"/>
      <c r="D1343" s="564"/>
      <c r="F1343" s="564" t="s">
        <v>634</v>
      </c>
      <c r="H1343" s="258"/>
      <c r="I1343" s="258"/>
      <c r="J1343" s="258"/>
    </row>
    <row r="1347" spans="1:10" ht="23.25" customHeight="1" x14ac:dyDescent="0.55000000000000004">
      <c r="A1347" s="850"/>
      <c r="B1347" s="851"/>
      <c r="C1347" s="851"/>
      <c r="D1347" s="851"/>
      <c r="E1347" s="851"/>
      <c r="F1347" s="852"/>
      <c r="G1347" s="411" t="s">
        <v>78</v>
      </c>
      <c r="H1347" s="411" t="s">
        <v>6</v>
      </c>
      <c r="I1347" s="261" t="s">
        <v>335</v>
      </c>
      <c r="J1347" s="412" t="s">
        <v>336</v>
      </c>
    </row>
    <row r="1348" spans="1:10" ht="24" x14ac:dyDescent="0.55000000000000004">
      <c r="A1348" s="304" t="s">
        <v>630</v>
      </c>
      <c r="B1348" s="302"/>
      <c r="C1348" s="271"/>
      <c r="D1348" s="271"/>
      <c r="E1348" s="271"/>
      <c r="F1348" s="272"/>
      <c r="G1348" s="273"/>
      <c r="H1348" s="274"/>
      <c r="I1348" s="275"/>
      <c r="J1348" s="274"/>
    </row>
    <row r="1349" spans="1:10" ht="24" x14ac:dyDescent="0.55000000000000004">
      <c r="A1349" s="270"/>
      <c r="B1349" s="271" t="s">
        <v>633</v>
      </c>
      <c r="C1349" s="271"/>
      <c r="D1349" s="271"/>
      <c r="E1349" s="271"/>
      <c r="F1349" s="272"/>
      <c r="G1349" s="273"/>
      <c r="H1349" s="274"/>
      <c r="I1349" s="275">
        <v>4282000</v>
      </c>
      <c r="J1349" s="274"/>
    </row>
    <row r="1350" spans="1:10" ht="24" x14ac:dyDescent="0.55000000000000004">
      <c r="A1350" s="270"/>
      <c r="B1350" s="271" t="s">
        <v>631</v>
      </c>
      <c r="C1350" s="271"/>
      <c r="D1350" s="271"/>
      <c r="E1350" s="271"/>
      <c r="F1350" s="272"/>
      <c r="G1350" s="273"/>
      <c r="H1350" s="274"/>
      <c r="I1350" s="275">
        <v>2315425.64</v>
      </c>
      <c r="J1350" s="274"/>
    </row>
    <row r="1351" spans="1:10" ht="24" x14ac:dyDescent="0.55000000000000004">
      <c r="A1351" s="270"/>
      <c r="B1351" s="271" t="s">
        <v>632</v>
      </c>
      <c r="C1351" s="271"/>
      <c r="D1351" s="271"/>
      <c r="E1351" s="271"/>
      <c r="F1351" s="272"/>
      <c r="G1351" s="273"/>
      <c r="H1351" s="274"/>
      <c r="I1351" s="275"/>
      <c r="J1351" s="274"/>
    </row>
    <row r="1352" spans="1:10" ht="24" x14ac:dyDescent="0.55000000000000004">
      <c r="A1352" s="270"/>
      <c r="B1352" s="271" t="s">
        <v>631</v>
      </c>
      <c r="C1352" s="271"/>
      <c r="D1352" s="271"/>
      <c r="E1352" s="271"/>
      <c r="F1352" s="272"/>
      <c r="G1352" s="273"/>
      <c r="H1352" s="274"/>
      <c r="I1352" s="275">
        <v>1061425.6399999999</v>
      </c>
      <c r="J1352" s="274">
        <v>1061425.6399999999</v>
      </c>
    </row>
    <row r="1353" spans="1:10" ht="24" x14ac:dyDescent="0.55000000000000004">
      <c r="A1353" s="270"/>
      <c r="B1353" s="271" t="s">
        <v>635</v>
      </c>
      <c r="C1353" s="271"/>
      <c r="D1353" s="271"/>
      <c r="E1353" s="271"/>
      <c r="F1353" s="272"/>
      <c r="G1353" s="273"/>
      <c r="H1353" s="274"/>
      <c r="I1353" s="275"/>
      <c r="J1353" s="274"/>
    </row>
    <row r="1354" spans="1:10" ht="24" x14ac:dyDescent="0.55000000000000004">
      <c r="A1354" s="270"/>
      <c r="B1354" s="271"/>
      <c r="C1354" s="271"/>
      <c r="D1354" s="271"/>
      <c r="E1354" s="271"/>
      <c r="F1354" s="272"/>
      <c r="G1354" s="273"/>
      <c r="H1354" s="274"/>
      <c r="I1354" s="275"/>
      <c r="J1354" s="274"/>
    </row>
    <row r="1355" spans="1:10" ht="24" x14ac:dyDescent="0.55000000000000004">
      <c r="A1355" s="270"/>
      <c r="B1355" s="271"/>
      <c r="C1355" s="271"/>
      <c r="D1355" s="271"/>
      <c r="E1355" s="271"/>
      <c r="F1355" s="272"/>
      <c r="G1355" s="273"/>
      <c r="H1355" s="274"/>
      <c r="I1355" s="275"/>
      <c r="J1355" s="274"/>
    </row>
    <row r="1356" spans="1:10" ht="24" x14ac:dyDescent="0.55000000000000004">
      <c r="A1356" s="270"/>
      <c r="B1356" s="271"/>
      <c r="C1356" s="271"/>
      <c r="D1356" s="271"/>
      <c r="E1356" s="271"/>
      <c r="F1356" s="272"/>
      <c r="G1356" s="273"/>
      <c r="H1356" s="274"/>
      <c r="I1356" s="275"/>
      <c r="J1356" s="274"/>
    </row>
    <row r="1357" spans="1:10" ht="24" x14ac:dyDescent="0.55000000000000004">
      <c r="A1357" s="270"/>
      <c r="B1357" s="271"/>
      <c r="C1357" s="271"/>
      <c r="D1357" s="271"/>
      <c r="E1357" s="271"/>
      <c r="F1357" s="272"/>
      <c r="G1357" s="273"/>
      <c r="H1357" s="274"/>
      <c r="I1357" s="275"/>
      <c r="J1357" s="274"/>
    </row>
    <row r="1358" spans="1:10" ht="24" x14ac:dyDescent="0.55000000000000004">
      <c r="A1358" s="270"/>
      <c r="B1358" s="271"/>
      <c r="C1358" s="271"/>
      <c r="D1358" s="271"/>
      <c r="E1358" s="271"/>
      <c r="F1358" s="272"/>
      <c r="G1358" s="273"/>
      <c r="H1358" s="274"/>
      <c r="I1358" s="275"/>
      <c r="J1358" s="274"/>
    </row>
    <row r="1359" spans="1:10" ht="24" x14ac:dyDescent="0.55000000000000004">
      <c r="A1359" s="270"/>
      <c r="B1359" s="271"/>
      <c r="C1359" s="271"/>
      <c r="D1359" s="271"/>
      <c r="E1359" s="271"/>
      <c r="F1359" s="272"/>
      <c r="G1359" s="273"/>
      <c r="H1359" s="274"/>
      <c r="I1359" s="275"/>
      <c r="J1359" s="274"/>
    </row>
    <row r="1360" spans="1:10" ht="24" customHeight="1" x14ac:dyDescent="0.55000000000000004">
      <c r="A1360" s="305"/>
      <c r="B1360" s="306"/>
      <c r="C1360" s="306"/>
      <c r="D1360" s="306"/>
      <c r="E1360" s="847" t="s">
        <v>151</v>
      </c>
      <c r="F1360" s="848"/>
      <c r="G1360" s="307"/>
      <c r="H1360" s="299">
        <f>SUM(H1350:H1359)</f>
        <v>0</v>
      </c>
      <c r="I1360" s="299">
        <f>SUM(I1349:I1359)</f>
        <v>7658851.2800000003</v>
      </c>
      <c r="J1360" s="299">
        <f>SUM(J1348:J1359)</f>
        <v>1061425.6399999999</v>
      </c>
    </row>
    <row r="1361" spans="1:10" ht="27" customHeight="1" x14ac:dyDescent="0.55000000000000004">
      <c r="A1361" s="421"/>
      <c r="B1361" s="422"/>
      <c r="C1361" s="422"/>
      <c r="D1361" s="422"/>
      <c r="E1361" s="423" t="s">
        <v>613</v>
      </c>
      <c r="F1361" s="161"/>
      <c r="G1361" s="424"/>
      <c r="H1361" s="426"/>
      <c r="I1361" s="426">
        <f>+I1334+I1360</f>
        <v>29958726.810000002</v>
      </c>
      <c r="J1361" s="427">
        <f>+J1334+J1360</f>
        <v>3498494.3499999996</v>
      </c>
    </row>
    <row r="1372" spans="1:10" ht="24" x14ac:dyDescent="0.55000000000000004">
      <c r="A1372" s="400" t="s">
        <v>471</v>
      </c>
      <c r="B1372" s="400"/>
      <c r="C1372" s="400"/>
      <c r="D1372" s="400"/>
      <c r="E1372" s="400"/>
      <c r="F1372" s="400" t="s">
        <v>626</v>
      </c>
      <c r="G1372" s="401"/>
      <c r="H1372" s="401"/>
      <c r="I1372" s="258" t="s">
        <v>474</v>
      </c>
      <c r="J1372" s="258"/>
    </row>
    <row r="1373" spans="1:10" ht="24" x14ac:dyDescent="0.55000000000000004">
      <c r="A1373" s="400" t="s">
        <v>472</v>
      </c>
      <c r="B1373" s="400"/>
      <c r="C1373" s="400"/>
      <c r="D1373" s="400"/>
      <c r="E1373" s="400"/>
      <c r="F1373" s="400" t="s">
        <v>510</v>
      </c>
      <c r="G1373" s="401"/>
      <c r="H1373" s="401"/>
      <c r="I1373" s="258" t="s">
        <v>473</v>
      </c>
      <c r="J1373" s="258"/>
    </row>
    <row r="1374" spans="1:10" ht="24" x14ac:dyDescent="0.55000000000000004">
      <c r="A1374" s="312"/>
      <c r="B1374" s="312"/>
      <c r="C1374" s="312"/>
      <c r="D1374" s="312"/>
      <c r="E1374" s="312"/>
      <c r="F1374" s="400" t="s">
        <v>475</v>
      </c>
      <c r="G1374" s="401"/>
      <c r="H1374" s="401"/>
      <c r="I1374" s="313"/>
      <c r="J1374" s="313"/>
    </row>
    <row r="1388" spans="1:10" s="259" customFormat="1" ht="24" x14ac:dyDescent="0.55000000000000004">
      <c r="A1388" s="853" t="s">
        <v>76</v>
      </c>
      <c r="B1388" s="853"/>
      <c r="C1388" s="853"/>
      <c r="D1388" s="853"/>
      <c r="E1388" s="853"/>
      <c r="F1388" s="853"/>
      <c r="G1388" s="853"/>
      <c r="H1388" s="853"/>
      <c r="I1388" s="853"/>
      <c r="J1388" s="853"/>
    </row>
    <row r="1389" spans="1:10" s="259" customFormat="1" ht="24" x14ac:dyDescent="0.55000000000000004">
      <c r="A1389" s="853" t="s">
        <v>334</v>
      </c>
      <c r="B1389" s="853"/>
      <c r="C1389" s="853"/>
      <c r="D1389" s="853"/>
      <c r="E1389" s="853"/>
      <c r="F1389" s="853"/>
      <c r="G1389" s="853"/>
      <c r="H1389" s="853"/>
      <c r="I1389" s="853"/>
      <c r="J1389" s="853"/>
    </row>
    <row r="1390" spans="1:10" s="259" customFormat="1" ht="24" x14ac:dyDescent="0.55000000000000004">
      <c r="A1390" s="854" t="s">
        <v>646</v>
      </c>
      <c r="B1390" s="854"/>
      <c r="C1390" s="854"/>
      <c r="D1390" s="854"/>
      <c r="E1390" s="854"/>
      <c r="F1390" s="854"/>
      <c r="G1390" s="854"/>
      <c r="H1390" s="854"/>
      <c r="I1390" s="854"/>
      <c r="J1390" s="854"/>
    </row>
    <row r="1391" spans="1:10" s="259" customFormat="1" ht="24" x14ac:dyDescent="0.55000000000000004">
      <c r="A1391" s="855"/>
      <c r="B1391" s="856"/>
      <c r="C1391" s="856"/>
      <c r="D1391" s="856"/>
      <c r="E1391" s="856"/>
      <c r="F1391" s="857"/>
      <c r="G1391" s="260" t="s">
        <v>78</v>
      </c>
      <c r="H1391" s="260" t="s">
        <v>6</v>
      </c>
      <c r="I1391" s="261" t="s">
        <v>335</v>
      </c>
      <c r="J1391" s="262" t="s">
        <v>336</v>
      </c>
    </row>
    <row r="1392" spans="1:10" s="259" customFormat="1" ht="24" x14ac:dyDescent="0.55000000000000004">
      <c r="A1392" s="263" t="s">
        <v>337</v>
      </c>
      <c r="B1392" s="264"/>
      <c r="C1392" s="265"/>
      <c r="D1392" s="265"/>
      <c r="E1392" s="265"/>
      <c r="F1392" s="266"/>
      <c r="G1392" s="267"/>
      <c r="H1392" s="268"/>
      <c r="I1392" s="269"/>
      <c r="J1392" s="268"/>
    </row>
    <row r="1393" spans="1:10" s="259" customFormat="1" ht="24" x14ac:dyDescent="0.55000000000000004">
      <c r="A1393" s="263" t="s">
        <v>338</v>
      </c>
      <c r="B1393" s="264"/>
      <c r="C1393" s="265"/>
      <c r="D1393" s="265"/>
      <c r="E1393" s="265"/>
      <c r="F1393" s="266"/>
      <c r="G1393" s="267"/>
      <c r="H1393" s="268"/>
      <c r="I1393" s="269"/>
      <c r="J1393" s="268"/>
    </row>
    <row r="1394" spans="1:10" s="259" customFormat="1" ht="24" x14ac:dyDescent="0.55000000000000004">
      <c r="A1394" s="270" t="s">
        <v>339</v>
      </c>
      <c r="B1394" s="271" t="s">
        <v>340</v>
      </c>
      <c r="C1394" s="271"/>
      <c r="D1394" s="271"/>
      <c r="E1394" s="271"/>
      <c r="F1394" s="272"/>
      <c r="G1394" s="273">
        <v>411001</v>
      </c>
      <c r="H1394" s="274">
        <v>3900000</v>
      </c>
      <c r="I1394" s="275">
        <f>187018.1+4119328.13+9180+5575</f>
        <v>4321101.2299999995</v>
      </c>
      <c r="J1394" s="274"/>
    </row>
    <row r="1395" spans="1:10" s="259" customFormat="1" ht="24" x14ac:dyDescent="0.55000000000000004">
      <c r="A1395" s="270" t="s">
        <v>341</v>
      </c>
      <c r="B1395" s="271" t="s">
        <v>342</v>
      </c>
      <c r="C1395" s="271"/>
      <c r="D1395" s="271"/>
      <c r="E1395" s="271"/>
      <c r="F1395" s="272"/>
      <c r="G1395" s="273">
        <v>411002</v>
      </c>
      <c r="H1395" s="274">
        <v>50000</v>
      </c>
      <c r="I1395" s="275">
        <f>222.3+653.6+2296.15+2449.1+20855.35+16614.55+1774.6+682.1+1726.15</f>
        <v>47273.9</v>
      </c>
      <c r="J1395" s="274">
        <v>1726.15</v>
      </c>
    </row>
    <row r="1396" spans="1:10" s="259" customFormat="1" ht="24" x14ac:dyDescent="0.55000000000000004">
      <c r="A1396" s="270" t="s">
        <v>343</v>
      </c>
      <c r="B1396" s="271" t="s">
        <v>344</v>
      </c>
      <c r="C1396" s="271"/>
      <c r="D1396" s="271"/>
      <c r="E1396" s="271"/>
      <c r="F1396" s="272"/>
      <c r="G1396" s="273">
        <v>411003</v>
      </c>
      <c r="H1396" s="274">
        <v>20000</v>
      </c>
      <c r="I1396" s="275">
        <f>2919+15360+800</f>
        <v>19079</v>
      </c>
      <c r="J1396" s="274"/>
    </row>
    <row r="1397" spans="1:10" s="259" customFormat="1" ht="24" x14ac:dyDescent="0.55000000000000004">
      <c r="A1397" s="270" t="s">
        <v>345</v>
      </c>
      <c r="B1397" s="271" t="s">
        <v>346</v>
      </c>
      <c r="C1397" s="271"/>
      <c r="D1397" s="271"/>
      <c r="E1397" s="271"/>
      <c r="F1397" s="272"/>
      <c r="G1397" s="273">
        <v>411004</v>
      </c>
      <c r="H1397" s="274">
        <v>0</v>
      </c>
      <c r="I1397" s="275">
        <v>0</v>
      </c>
      <c r="J1397" s="274">
        <v>0</v>
      </c>
    </row>
    <row r="1398" spans="1:10" s="259" customFormat="1" ht="24" x14ac:dyDescent="0.55000000000000004">
      <c r="A1398" s="270" t="s">
        <v>347</v>
      </c>
      <c r="B1398" s="271" t="s">
        <v>348</v>
      </c>
      <c r="C1398" s="271"/>
      <c r="D1398" s="271"/>
      <c r="E1398" s="271"/>
      <c r="F1398" s="272"/>
      <c r="G1398" s="273">
        <v>411005</v>
      </c>
      <c r="H1398" s="276">
        <v>100000</v>
      </c>
      <c r="I1398" s="277">
        <f>24629.02+645270.57+50322.79</f>
        <v>720222.38</v>
      </c>
      <c r="J1398" s="276">
        <v>0</v>
      </c>
    </row>
    <row r="1399" spans="1:10" s="259" customFormat="1" ht="24" x14ac:dyDescent="0.55000000000000004">
      <c r="A1399" s="270"/>
      <c r="B1399" s="271"/>
      <c r="C1399" s="271"/>
      <c r="D1399" s="271"/>
      <c r="E1399" s="271"/>
      <c r="F1399" s="272"/>
      <c r="G1399" s="273"/>
      <c r="H1399" s="299">
        <f>SUM(H1394:H1398)</f>
        <v>4070000</v>
      </c>
      <c r="I1399" s="300">
        <f>SUM(I1394:I1398)</f>
        <v>5107676.51</v>
      </c>
      <c r="J1399" s="299">
        <f>SUM(J1394:J1398)</f>
        <v>1726.15</v>
      </c>
    </row>
    <row r="1400" spans="1:10" s="259" customFormat="1" ht="24" x14ac:dyDescent="0.55000000000000004">
      <c r="A1400" s="263" t="s">
        <v>349</v>
      </c>
      <c r="B1400" s="278"/>
      <c r="C1400" s="278"/>
      <c r="D1400" s="278"/>
      <c r="E1400" s="279"/>
      <c r="F1400" s="280"/>
      <c r="G1400" s="281"/>
      <c r="H1400" s="282"/>
      <c r="I1400" s="283"/>
      <c r="J1400" s="268"/>
    </row>
    <row r="1401" spans="1:10" s="259" customFormat="1" ht="24" x14ac:dyDescent="0.55000000000000004">
      <c r="A1401" s="270" t="s">
        <v>339</v>
      </c>
      <c r="B1401" s="271" t="s">
        <v>350</v>
      </c>
      <c r="C1401" s="284"/>
      <c r="D1401" s="284"/>
      <c r="E1401" s="284"/>
      <c r="F1401" s="285"/>
      <c r="G1401" s="286">
        <v>412103</v>
      </c>
      <c r="H1401" s="287">
        <v>500</v>
      </c>
      <c r="I1401" s="288">
        <f>77.6+19.4+38.8+155.2+252.2+213.4+213.4</f>
        <v>970</v>
      </c>
      <c r="J1401" s="274"/>
    </row>
    <row r="1402" spans="1:10" s="259" customFormat="1" ht="24" x14ac:dyDescent="0.55000000000000004">
      <c r="A1402" s="270" t="s">
        <v>341</v>
      </c>
      <c r="B1402" s="271" t="s">
        <v>351</v>
      </c>
      <c r="C1402" s="284"/>
      <c r="D1402" s="284"/>
      <c r="E1402" s="284"/>
      <c r="F1402" s="285"/>
      <c r="G1402" s="286">
        <v>412104</v>
      </c>
      <c r="H1402" s="287">
        <v>500</v>
      </c>
      <c r="I1402" s="288"/>
      <c r="J1402" s="274"/>
    </row>
    <row r="1403" spans="1:10" s="259" customFormat="1" ht="24" x14ac:dyDescent="0.55000000000000004">
      <c r="A1403" s="270" t="s">
        <v>343</v>
      </c>
      <c r="B1403" s="271" t="s">
        <v>352</v>
      </c>
      <c r="C1403" s="284"/>
      <c r="D1403" s="284"/>
      <c r="E1403" s="284"/>
      <c r="F1403" s="285"/>
      <c r="G1403" s="286">
        <v>4120106</v>
      </c>
      <c r="H1403" s="287">
        <v>20000</v>
      </c>
      <c r="I1403" s="288">
        <f>292+24+164+2398+65+136+181+3166+216</f>
        <v>6642</v>
      </c>
      <c r="J1403" s="274">
        <v>216</v>
      </c>
    </row>
    <row r="1404" spans="1:10" s="259" customFormat="1" ht="24" x14ac:dyDescent="0.55000000000000004">
      <c r="A1404" s="270" t="s">
        <v>345</v>
      </c>
      <c r="B1404" s="271" t="s">
        <v>456</v>
      </c>
      <c r="C1404" s="284"/>
      <c r="D1404" s="284"/>
      <c r="E1404" s="284"/>
      <c r="F1404" s="285"/>
      <c r="G1404" s="286"/>
      <c r="H1404" s="287">
        <v>500</v>
      </c>
      <c r="I1404" s="288"/>
      <c r="J1404" s="274"/>
    </row>
    <row r="1405" spans="1:10" s="259" customFormat="1" ht="24" x14ac:dyDescent="0.55000000000000004">
      <c r="A1405" s="270" t="s">
        <v>347</v>
      </c>
      <c r="B1405" s="271" t="s">
        <v>457</v>
      </c>
      <c r="C1405" s="284"/>
      <c r="D1405" s="284"/>
      <c r="E1405" s="284"/>
      <c r="F1405" s="285"/>
      <c r="G1405" s="286"/>
      <c r="H1405" s="287">
        <v>500</v>
      </c>
      <c r="I1405" s="288"/>
      <c r="J1405" s="274"/>
    </row>
    <row r="1406" spans="1:10" s="259" customFormat="1" ht="24" x14ac:dyDescent="0.55000000000000004">
      <c r="A1406" s="270"/>
      <c r="B1406" s="271" t="s">
        <v>458</v>
      </c>
      <c r="C1406" s="284"/>
      <c r="D1406" s="284"/>
      <c r="E1406" s="284"/>
      <c r="F1406" s="285"/>
      <c r="G1406" s="286"/>
      <c r="H1406" s="287"/>
      <c r="I1406" s="288"/>
      <c r="J1406" s="274"/>
    </row>
    <row r="1407" spans="1:10" s="259" customFormat="1" ht="24" x14ac:dyDescent="0.55000000000000004">
      <c r="A1407" s="270" t="s">
        <v>355</v>
      </c>
      <c r="B1407" s="271" t="s">
        <v>459</v>
      </c>
      <c r="C1407" s="284"/>
      <c r="D1407" s="284"/>
      <c r="E1407" s="284"/>
      <c r="F1407" s="285"/>
      <c r="G1407" s="286"/>
      <c r="H1407" s="287">
        <v>500</v>
      </c>
      <c r="I1407" s="288"/>
      <c r="J1407" s="274"/>
    </row>
    <row r="1408" spans="1:10" s="259" customFormat="1" ht="24" x14ac:dyDescent="0.55000000000000004">
      <c r="A1408" s="270"/>
      <c r="B1408" s="271" t="s">
        <v>460</v>
      </c>
      <c r="C1408" s="284"/>
      <c r="D1408" s="284"/>
      <c r="E1408" s="284"/>
      <c r="F1408" s="285"/>
      <c r="G1408" s="286"/>
      <c r="H1408" s="287"/>
      <c r="I1408" s="288"/>
      <c r="J1408" s="274"/>
    </row>
    <row r="1409" spans="1:11" s="289" customFormat="1" ht="24" x14ac:dyDescent="0.55000000000000004">
      <c r="A1409" s="290" t="s">
        <v>357</v>
      </c>
      <c r="B1409" s="271" t="s">
        <v>353</v>
      </c>
      <c r="C1409" s="271"/>
      <c r="D1409" s="271"/>
      <c r="E1409" s="271"/>
      <c r="F1409" s="272"/>
      <c r="G1409" s="286">
        <v>412128</v>
      </c>
      <c r="H1409" s="274">
        <v>1000</v>
      </c>
      <c r="I1409" s="275">
        <f>50+50+50+100+50+70+50</f>
        <v>420</v>
      </c>
      <c r="J1409" s="274"/>
    </row>
    <row r="1410" spans="1:11" s="289" customFormat="1" ht="24" x14ac:dyDescent="0.55000000000000004">
      <c r="A1410" s="290" t="s">
        <v>359</v>
      </c>
      <c r="B1410" s="271" t="s">
        <v>461</v>
      </c>
      <c r="C1410" s="271"/>
      <c r="D1410" s="271"/>
      <c r="E1410" s="271"/>
      <c r="F1410" s="272"/>
      <c r="G1410" s="286"/>
      <c r="H1410" s="274">
        <v>500</v>
      </c>
      <c r="I1410" s="275"/>
      <c r="J1410" s="274"/>
      <c r="K1410" s="289">
        <v>1</v>
      </c>
    </row>
    <row r="1411" spans="1:11" s="289" customFormat="1" ht="24" x14ac:dyDescent="0.55000000000000004">
      <c r="A1411" s="270" t="s">
        <v>361</v>
      </c>
      <c r="B1411" s="271" t="s">
        <v>354</v>
      </c>
      <c r="C1411" s="271"/>
      <c r="D1411" s="271"/>
      <c r="E1411" s="271"/>
      <c r="F1411" s="272"/>
      <c r="G1411" s="286">
        <v>412199</v>
      </c>
      <c r="H1411" s="274">
        <v>1500</v>
      </c>
      <c r="I1411" s="275">
        <f>200+10+10+20+20+10+900</f>
        <v>1170</v>
      </c>
      <c r="J1411" s="274">
        <v>900</v>
      </c>
    </row>
    <row r="1412" spans="1:11" s="289" customFormat="1" ht="24" x14ac:dyDescent="0.55000000000000004">
      <c r="A1412" s="270" t="s">
        <v>363</v>
      </c>
      <c r="B1412" s="271" t="s">
        <v>356</v>
      </c>
      <c r="C1412" s="271"/>
      <c r="D1412" s="271"/>
      <c r="E1412" s="271"/>
      <c r="F1412" s="272"/>
      <c r="G1412" s="286"/>
      <c r="H1412" s="274">
        <v>1500</v>
      </c>
      <c r="I1412" s="275">
        <f>200+650+200+450</f>
        <v>1500</v>
      </c>
      <c r="J1412" s="274"/>
    </row>
    <row r="1413" spans="1:11" s="289" customFormat="1" ht="24" x14ac:dyDescent="0.55000000000000004">
      <c r="A1413" s="270" t="s">
        <v>365</v>
      </c>
      <c r="B1413" s="271" t="s">
        <v>358</v>
      </c>
      <c r="C1413" s="271"/>
      <c r="D1413" s="271"/>
      <c r="E1413" s="271"/>
      <c r="F1413" s="272"/>
      <c r="G1413" s="286"/>
      <c r="H1413" s="274">
        <v>50000</v>
      </c>
      <c r="I1413" s="275">
        <v>84320</v>
      </c>
      <c r="J1413" s="274"/>
    </row>
    <row r="1414" spans="1:11" s="289" customFormat="1" ht="24" x14ac:dyDescent="0.55000000000000004">
      <c r="A1414" s="270" t="s">
        <v>367</v>
      </c>
      <c r="B1414" s="271" t="s">
        <v>360</v>
      </c>
      <c r="C1414" s="271"/>
      <c r="D1414" s="271"/>
      <c r="E1414" s="271"/>
      <c r="F1414" s="272"/>
      <c r="G1414" s="286">
        <v>412211</v>
      </c>
      <c r="H1414" s="274">
        <v>500</v>
      </c>
      <c r="I1414" s="275"/>
      <c r="J1414" s="274"/>
    </row>
    <row r="1415" spans="1:11" s="291" customFormat="1" ht="24" x14ac:dyDescent="0.55000000000000004">
      <c r="A1415" s="270" t="s">
        <v>369</v>
      </c>
      <c r="B1415" s="291" t="s">
        <v>362</v>
      </c>
      <c r="F1415" s="292"/>
      <c r="G1415" s="293">
        <v>412299</v>
      </c>
      <c r="H1415" s="294">
        <v>500</v>
      </c>
      <c r="I1415" s="295"/>
      <c r="J1415" s="294"/>
    </row>
    <row r="1416" spans="1:11" s="265" customFormat="1" ht="24" x14ac:dyDescent="0.55000000000000004">
      <c r="A1416" s="270" t="s">
        <v>371</v>
      </c>
      <c r="B1416" s="291" t="s">
        <v>462</v>
      </c>
      <c r="C1416" s="291"/>
      <c r="D1416" s="291"/>
      <c r="E1416" s="291"/>
      <c r="F1416" s="292"/>
      <c r="G1416" s="293"/>
      <c r="H1416" s="294">
        <v>500</v>
      </c>
      <c r="I1416" s="295"/>
      <c r="J1416" s="294"/>
    </row>
    <row r="1417" spans="1:11" s="289" customFormat="1" ht="24" x14ac:dyDescent="0.55000000000000004">
      <c r="A1417" s="270" t="s">
        <v>373</v>
      </c>
      <c r="B1417" s="291" t="s">
        <v>364</v>
      </c>
      <c r="C1417" s="291"/>
      <c r="D1417" s="291"/>
      <c r="E1417" s="291"/>
      <c r="F1417" s="292"/>
      <c r="G1417" s="296">
        <v>412303</v>
      </c>
      <c r="H1417" s="294">
        <v>500</v>
      </c>
      <c r="I1417" s="295">
        <v>100</v>
      </c>
      <c r="J1417" s="294"/>
    </row>
    <row r="1418" spans="1:11" s="289" customFormat="1" ht="24" x14ac:dyDescent="0.55000000000000004">
      <c r="A1418" s="270" t="s">
        <v>463</v>
      </c>
      <c r="B1418" s="271" t="s">
        <v>366</v>
      </c>
      <c r="C1418" s="271"/>
      <c r="D1418" s="271"/>
      <c r="E1418" s="271"/>
      <c r="F1418" s="272"/>
      <c r="G1418" s="273">
        <v>412304</v>
      </c>
      <c r="H1418" s="274">
        <v>500</v>
      </c>
      <c r="I1418" s="275"/>
      <c r="J1418" s="274"/>
    </row>
    <row r="1419" spans="1:11" s="289" customFormat="1" ht="24" x14ac:dyDescent="0.55000000000000004">
      <c r="A1419" s="270" t="s">
        <v>464</v>
      </c>
      <c r="B1419" s="271" t="s">
        <v>368</v>
      </c>
      <c r="C1419" s="271"/>
      <c r="D1419" s="271"/>
      <c r="E1419" s="271"/>
      <c r="F1419" s="272"/>
      <c r="G1419" s="273">
        <v>412305</v>
      </c>
      <c r="H1419" s="274">
        <v>500</v>
      </c>
      <c r="I1419" s="275"/>
      <c r="J1419" s="274"/>
    </row>
    <row r="1420" spans="1:11" s="289" customFormat="1" ht="24" x14ac:dyDescent="0.55000000000000004">
      <c r="A1420" s="270" t="s">
        <v>465</v>
      </c>
      <c r="B1420" s="271" t="s">
        <v>370</v>
      </c>
      <c r="C1420" s="271"/>
      <c r="D1420" s="271"/>
      <c r="E1420" s="271"/>
      <c r="F1420" s="272"/>
      <c r="G1420" s="273">
        <v>412306</v>
      </c>
      <c r="H1420" s="276">
        <v>500</v>
      </c>
      <c r="I1420" s="277"/>
      <c r="J1420" s="274"/>
    </row>
    <row r="1421" spans="1:11" s="289" customFormat="1" ht="24" x14ac:dyDescent="0.55000000000000004">
      <c r="A1421" s="270" t="s">
        <v>466</v>
      </c>
      <c r="B1421" s="271" t="s">
        <v>372</v>
      </c>
      <c r="C1421" s="271"/>
      <c r="D1421" s="271"/>
      <c r="E1421" s="271"/>
      <c r="F1421" s="272"/>
      <c r="G1421" s="273">
        <v>412307</v>
      </c>
      <c r="H1421" s="276">
        <v>2000</v>
      </c>
      <c r="I1421" s="277">
        <f>20+20+40+80+20+60+40+100+40</f>
        <v>420</v>
      </c>
      <c r="J1421" s="274">
        <v>40</v>
      </c>
    </row>
    <row r="1422" spans="1:11" s="289" customFormat="1" ht="24" x14ac:dyDescent="0.55000000000000004">
      <c r="A1422" s="270" t="s">
        <v>467</v>
      </c>
      <c r="B1422" s="271" t="s">
        <v>374</v>
      </c>
      <c r="C1422" s="271"/>
      <c r="D1422" s="271"/>
      <c r="E1422" s="271"/>
      <c r="F1422" s="272"/>
      <c r="G1422" s="273">
        <v>412399</v>
      </c>
      <c r="H1422" s="276">
        <v>500</v>
      </c>
      <c r="I1422" s="277">
        <f>70+30+20+500+500+10</f>
        <v>1130</v>
      </c>
      <c r="J1422" s="268">
        <v>10</v>
      </c>
    </row>
    <row r="1423" spans="1:11" s="289" customFormat="1" ht="24" x14ac:dyDescent="0.55000000000000004">
      <c r="A1423" s="305"/>
      <c r="B1423" s="306"/>
      <c r="C1423" s="306"/>
      <c r="D1423" s="306"/>
      <c r="E1423" s="847"/>
      <c r="F1423" s="848"/>
      <c r="G1423" s="396"/>
      <c r="H1423" s="299">
        <f>SUM(H1401:H1422)</f>
        <v>83000</v>
      </c>
      <c r="I1423" s="300">
        <f>SUM(I1401:I1422)</f>
        <v>96672</v>
      </c>
      <c r="J1423" s="299">
        <f>SUM(J1401:J1422)</f>
        <v>1166</v>
      </c>
    </row>
    <row r="1428" spans="1:11" s="289" customFormat="1" ht="24" x14ac:dyDescent="0.55000000000000004">
      <c r="A1428" s="858" t="s">
        <v>455</v>
      </c>
      <c r="B1428" s="858"/>
      <c r="C1428" s="858"/>
      <c r="D1428" s="858"/>
      <c r="E1428" s="858"/>
      <c r="F1428" s="858"/>
      <c r="G1428" s="858"/>
      <c r="H1428" s="858"/>
      <c r="I1428" s="858"/>
      <c r="J1428" s="858"/>
    </row>
    <row r="1429" spans="1:11" s="289" customFormat="1" ht="24" x14ac:dyDescent="0.55000000000000004">
      <c r="A1429" s="395"/>
      <c r="B1429" s="395"/>
      <c r="C1429" s="395"/>
      <c r="D1429" s="395"/>
      <c r="E1429" s="395"/>
      <c r="F1429" s="395"/>
      <c r="G1429" s="395"/>
      <c r="H1429" s="395"/>
      <c r="I1429" s="395"/>
      <c r="J1429" s="395"/>
    </row>
    <row r="1430" spans="1:11" s="259" customFormat="1" ht="24" x14ac:dyDescent="0.55000000000000004">
      <c r="A1430" s="855"/>
      <c r="B1430" s="856"/>
      <c r="C1430" s="856"/>
      <c r="D1430" s="856"/>
      <c r="E1430" s="856"/>
      <c r="F1430" s="857"/>
      <c r="G1430" s="260" t="s">
        <v>78</v>
      </c>
      <c r="H1430" s="260" t="s">
        <v>6</v>
      </c>
      <c r="I1430" s="261" t="s">
        <v>335</v>
      </c>
      <c r="J1430" s="262" t="s">
        <v>336</v>
      </c>
    </row>
    <row r="1431" spans="1:11" s="289" customFormat="1" ht="24" x14ac:dyDescent="0.55000000000000004">
      <c r="A1431" s="301" t="s">
        <v>375</v>
      </c>
      <c r="B1431" s="302"/>
      <c r="C1431" s="302"/>
      <c r="D1431" s="271"/>
      <c r="E1431" s="271"/>
      <c r="F1431" s="272"/>
      <c r="G1431" s="298"/>
      <c r="H1431" s="268"/>
      <c r="I1431" s="269"/>
      <c r="J1431" s="268"/>
    </row>
    <row r="1432" spans="1:11" s="289" customFormat="1" ht="24" x14ac:dyDescent="0.55000000000000004">
      <c r="A1432" s="270" t="s">
        <v>339</v>
      </c>
      <c r="B1432" s="271" t="s">
        <v>376</v>
      </c>
      <c r="C1432" s="271"/>
      <c r="D1432" s="271"/>
      <c r="E1432" s="271"/>
      <c r="F1432" s="272"/>
      <c r="G1432" s="273">
        <v>413003</v>
      </c>
      <c r="H1432" s="276">
        <v>100000</v>
      </c>
      <c r="I1432" s="277">
        <f>33122.75+16284.37+24237.67</f>
        <v>73644.790000000008</v>
      </c>
      <c r="J1432" s="274">
        <v>24237.67</v>
      </c>
    </row>
    <row r="1433" spans="1:11" s="259" customFormat="1" ht="24" x14ac:dyDescent="0.55000000000000004">
      <c r="A1433" s="270" t="s">
        <v>341</v>
      </c>
      <c r="B1433" s="271" t="s">
        <v>377</v>
      </c>
      <c r="C1433" s="271"/>
      <c r="D1433" s="271"/>
      <c r="E1433" s="271"/>
      <c r="F1433" s="272"/>
      <c r="G1433" s="273">
        <v>413999</v>
      </c>
      <c r="H1433" s="276">
        <v>10000</v>
      </c>
      <c r="I1433" s="277">
        <v>0</v>
      </c>
      <c r="J1433" s="268">
        <v>0</v>
      </c>
    </row>
    <row r="1434" spans="1:11" s="259" customFormat="1" ht="24" x14ac:dyDescent="0.55000000000000004">
      <c r="A1434" s="270"/>
      <c r="B1434" s="271"/>
      <c r="C1434" s="271"/>
      <c r="D1434" s="271"/>
      <c r="E1434" s="271"/>
      <c r="F1434" s="272"/>
      <c r="G1434" s="273"/>
      <c r="H1434" s="299">
        <f>SUM(H1432:H1433)</f>
        <v>110000</v>
      </c>
      <c r="I1434" s="300">
        <f>SUM(I1432:I1433)</f>
        <v>73644.790000000008</v>
      </c>
      <c r="J1434" s="299">
        <f>SUM(J1432:J1433)</f>
        <v>24237.67</v>
      </c>
    </row>
    <row r="1435" spans="1:11" s="289" customFormat="1" ht="24" x14ac:dyDescent="0.55000000000000004">
      <c r="A1435" s="301" t="s">
        <v>378</v>
      </c>
      <c r="B1435" s="302"/>
      <c r="C1435" s="302"/>
      <c r="D1435" s="302"/>
      <c r="E1435" s="302"/>
      <c r="F1435" s="272"/>
      <c r="G1435" s="298"/>
      <c r="H1435" s="268"/>
      <c r="I1435" s="269"/>
      <c r="J1435" s="268"/>
    </row>
    <row r="1436" spans="1:11" s="289" customFormat="1" ht="24" x14ac:dyDescent="0.55000000000000004">
      <c r="A1436" s="270"/>
      <c r="B1436" s="271" t="s">
        <v>21</v>
      </c>
      <c r="C1436" s="271"/>
      <c r="D1436" s="271"/>
      <c r="E1436" s="271"/>
      <c r="F1436" s="272"/>
      <c r="G1436" s="273">
        <v>414006</v>
      </c>
      <c r="H1436" s="274">
        <v>1000000</v>
      </c>
      <c r="I1436" s="275">
        <f>41213+40907+47749+76891+68560+118069+65793+43770+118003+21586</f>
        <v>642541</v>
      </c>
      <c r="J1436" s="274">
        <v>21586</v>
      </c>
    </row>
    <row r="1437" spans="1:11" s="289" customFormat="1" ht="24" x14ac:dyDescent="0.55000000000000004">
      <c r="A1437" s="270" t="s">
        <v>341</v>
      </c>
      <c r="B1437" s="271" t="s">
        <v>379</v>
      </c>
      <c r="C1437" s="271"/>
      <c r="D1437" s="271"/>
      <c r="E1437" s="271"/>
      <c r="F1437" s="272"/>
      <c r="G1437" s="273">
        <v>414999</v>
      </c>
      <c r="H1437" s="268">
        <v>5000</v>
      </c>
      <c r="I1437" s="269">
        <f>200+200+200+400+200+400+400+200+200+200</f>
        <v>2600</v>
      </c>
      <c r="J1437" s="303">
        <v>200</v>
      </c>
    </row>
    <row r="1438" spans="1:11" s="289" customFormat="1" ht="24" x14ac:dyDescent="0.55000000000000004">
      <c r="A1438" s="391"/>
      <c r="B1438" s="392"/>
      <c r="C1438" s="392"/>
      <c r="D1438" s="392"/>
      <c r="E1438" s="859" t="s">
        <v>151</v>
      </c>
      <c r="F1438" s="860"/>
      <c r="G1438" s="393"/>
      <c r="H1438" s="299">
        <f>SUM(H1436:H1437)</f>
        <v>1005000</v>
      </c>
      <c r="I1438" s="300">
        <f>SUM(I1436:I1437)</f>
        <v>645141</v>
      </c>
      <c r="J1438" s="299">
        <f>SUM(J1436:J1437)</f>
        <v>21786</v>
      </c>
    </row>
    <row r="1439" spans="1:11" s="289" customFormat="1" ht="24" x14ac:dyDescent="0.55000000000000004">
      <c r="A1439" s="301" t="s">
        <v>380</v>
      </c>
      <c r="B1439" s="302"/>
      <c r="C1439" s="302"/>
      <c r="D1439" s="271"/>
      <c r="E1439" s="271"/>
      <c r="F1439" s="272"/>
      <c r="G1439" s="298"/>
      <c r="H1439" s="268"/>
      <c r="I1439" s="269"/>
      <c r="J1439" s="268"/>
    </row>
    <row r="1440" spans="1:11" s="289" customFormat="1" ht="24" x14ac:dyDescent="0.55000000000000004">
      <c r="A1440" s="270" t="s">
        <v>339</v>
      </c>
      <c r="B1440" s="271" t="s">
        <v>381</v>
      </c>
      <c r="C1440" s="271"/>
      <c r="D1440" s="271"/>
      <c r="E1440" s="271"/>
      <c r="F1440" s="272"/>
      <c r="G1440" s="273">
        <v>415004</v>
      </c>
      <c r="H1440" s="274">
        <v>80000</v>
      </c>
      <c r="I1440" s="277">
        <f>3000+7200+1800+4500</f>
        <v>16500</v>
      </c>
      <c r="J1440" s="274"/>
      <c r="K1440" s="289">
        <v>2</v>
      </c>
    </row>
    <row r="1441" spans="1:10" s="289" customFormat="1" ht="24" x14ac:dyDescent="0.55000000000000004">
      <c r="A1441" s="270" t="s">
        <v>341</v>
      </c>
      <c r="B1441" s="271" t="s">
        <v>382</v>
      </c>
      <c r="C1441" s="271"/>
      <c r="D1441" s="271"/>
      <c r="E1441" s="271"/>
      <c r="F1441" s="272"/>
      <c r="G1441" s="273">
        <v>415999</v>
      </c>
      <c r="H1441" s="276">
        <v>10000</v>
      </c>
      <c r="I1441" s="277">
        <f>500+376417.34+5</f>
        <v>376922.34</v>
      </c>
      <c r="J1441" s="268">
        <v>5</v>
      </c>
    </row>
    <row r="1442" spans="1:10" s="289" customFormat="1" ht="24" x14ac:dyDescent="0.55000000000000004">
      <c r="A1442" s="270"/>
      <c r="B1442" s="271"/>
      <c r="C1442" s="271"/>
      <c r="D1442" s="271"/>
      <c r="E1442" s="271"/>
      <c r="F1442" s="272"/>
      <c r="G1442" s="273"/>
      <c r="H1442" s="299">
        <f>SUM(H1440:H1441)</f>
        <v>90000</v>
      </c>
      <c r="I1442" s="300">
        <f>SUM(I1440:I1441)</f>
        <v>393422.34</v>
      </c>
      <c r="J1442" s="299">
        <f>SUM(J1440:J1441)</f>
        <v>5</v>
      </c>
    </row>
    <row r="1443" spans="1:10" s="289" customFormat="1" ht="24" x14ac:dyDescent="0.55000000000000004">
      <c r="A1443" s="301" t="s">
        <v>383</v>
      </c>
      <c r="B1443" s="302"/>
      <c r="C1443" s="302"/>
      <c r="D1443" s="271"/>
      <c r="E1443" s="271"/>
      <c r="F1443" s="272"/>
      <c r="G1443" s="298"/>
      <c r="H1443" s="268"/>
      <c r="I1443" s="269"/>
      <c r="J1443" s="268"/>
    </row>
    <row r="1444" spans="1:10" s="289" customFormat="1" ht="24" x14ac:dyDescent="0.55000000000000004">
      <c r="A1444" s="270" t="s">
        <v>339</v>
      </c>
      <c r="B1444" s="271" t="s">
        <v>384</v>
      </c>
      <c r="C1444" s="271"/>
      <c r="D1444" s="271"/>
      <c r="E1444" s="271"/>
      <c r="F1444" s="272"/>
      <c r="G1444" s="273">
        <v>416001</v>
      </c>
      <c r="H1444" s="274">
        <v>2000</v>
      </c>
      <c r="I1444" s="277">
        <v>3665</v>
      </c>
      <c r="J1444" s="274">
        <v>0</v>
      </c>
    </row>
    <row r="1445" spans="1:10" s="289" customFormat="1" ht="24" x14ac:dyDescent="0.55000000000000004">
      <c r="A1445" s="270" t="s">
        <v>341</v>
      </c>
      <c r="B1445" s="271" t="s">
        <v>385</v>
      </c>
      <c r="C1445" s="271"/>
      <c r="D1445" s="271"/>
      <c r="E1445" s="271"/>
      <c r="F1445" s="272"/>
      <c r="G1445" s="273">
        <v>416999</v>
      </c>
      <c r="H1445" s="276">
        <v>0</v>
      </c>
      <c r="I1445" s="277">
        <v>0</v>
      </c>
      <c r="J1445" s="268">
        <v>0</v>
      </c>
    </row>
    <row r="1446" spans="1:10" s="289" customFormat="1" ht="24" x14ac:dyDescent="0.55000000000000004">
      <c r="A1446" s="270"/>
      <c r="B1446" s="271"/>
      <c r="C1446" s="271"/>
      <c r="D1446" s="271"/>
      <c r="E1446" s="271"/>
      <c r="F1446" s="272"/>
      <c r="G1446" s="273"/>
      <c r="H1446" s="299">
        <f>SUM(H1444:H1445)</f>
        <v>2000</v>
      </c>
      <c r="I1446" s="300">
        <f>SUM(I1444:I1445)</f>
        <v>3665</v>
      </c>
      <c r="J1446" s="299">
        <f>SUM(J1444:J1445)</f>
        <v>0</v>
      </c>
    </row>
    <row r="1447" spans="1:10" s="289" customFormat="1" ht="24" x14ac:dyDescent="0.55000000000000004">
      <c r="A1447" s="304" t="s">
        <v>386</v>
      </c>
      <c r="B1447" s="271"/>
      <c r="C1447" s="271"/>
      <c r="D1447" s="271"/>
      <c r="E1447" s="271"/>
      <c r="F1447" s="272"/>
      <c r="G1447" s="273"/>
      <c r="H1447" s="268"/>
      <c r="I1447" s="269"/>
      <c r="J1447" s="268"/>
    </row>
    <row r="1448" spans="1:10" s="259" customFormat="1" ht="24" x14ac:dyDescent="0.55000000000000004">
      <c r="A1448" s="270" t="s">
        <v>339</v>
      </c>
      <c r="B1448" s="271" t="s">
        <v>387</v>
      </c>
      <c r="C1448" s="271"/>
      <c r="D1448" s="271"/>
      <c r="E1448" s="271"/>
      <c r="F1448" s="272"/>
      <c r="G1448" s="273">
        <v>421002</v>
      </c>
      <c r="H1448" s="274">
        <v>7000000</v>
      </c>
      <c r="I1448" s="274">
        <f>576013.89+578421.62+586350.36+110502.39+605668.57+625606.99+622485.21+626432.16+541661.25+581816.39</f>
        <v>5454958.8300000001</v>
      </c>
      <c r="J1448" s="274">
        <v>581816.39</v>
      </c>
    </row>
    <row r="1449" spans="1:10" s="259" customFormat="1" ht="24" x14ac:dyDescent="0.55000000000000004">
      <c r="A1449" s="270" t="s">
        <v>341</v>
      </c>
      <c r="B1449" s="271" t="s">
        <v>388</v>
      </c>
      <c r="C1449" s="271"/>
      <c r="D1449" s="271"/>
      <c r="E1449" s="271"/>
      <c r="F1449" s="272"/>
      <c r="G1449" s="273">
        <v>421004</v>
      </c>
      <c r="H1449" s="274">
        <v>1500000</v>
      </c>
      <c r="I1449" s="274">
        <f>113953.78+131505.43+128502.61+128239.4+124886.95+141721.59+115012.16+145485.38</f>
        <v>1029307.2999999999</v>
      </c>
      <c r="J1449" s="274">
        <v>145485.38</v>
      </c>
    </row>
    <row r="1450" spans="1:10" s="259" customFormat="1" ht="24" x14ac:dyDescent="0.55000000000000004">
      <c r="A1450" s="270" t="s">
        <v>343</v>
      </c>
      <c r="B1450" s="271" t="s">
        <v>389</v>
      </c>
      <c r="C1450" s="271"/>
      <c r="D1450" s="271"/>
      <c r="E1450" s="271"/>
      <c r="F1450" s="272"/>
      <c r="G1450" s="273">
        <v>421005</v>
      </c>
      <c r="H1450" s="274">
        <v>100000</v>
      </c>
      <c r="I1450" s="274">
        <f>2747.3+3451.03+11616.96+6332.98+5128.71+6834.08+3963.25</f>
        <v>40074.31</v>
      </c>
      <c r="J1450" s="274">
        <v>3963.25</v>
      </c>
    </row>
    <row r="1451" spans="1:10" s="259" customFormat="1" ht="24" x14ac:dyDescent="0.55000000000000004">
      <c r="A1451" s="270" t="s">
        <v>345</v>
      </c>
      <c r="B1451" s="271" t="s">
        <v>390</v>
      </c>
      <c r="C1451" s="271"/>
      <c r="D1451" s="271"/>
      <c r="E1451" s="271"/>
      <c r="F1451" s="272"/>
      <c r="G1451" s="273">
        <v>421006</v>
      </c>
      <c r="H1451" s="274">
        <v>700000</v>
      </c>
      <c r="I1451" s="274">
        <f>47274.97+53800.47+56240.22+68576.03+61149.91+92271.74+45739.07+62462.32</f>
        <v>487514.73</v>
      </c>
      <c r="J1451" s="274">
        <v>62462.32</v>
      </c>
    </row>
    <row r="1452" spans="1:10" s="259" customFormat="1" ht="24" x14ac:dyDescent="0.55000000000000004">
      <c r="A1452" s="270" t="s">
        <v>347</v>
      </c>
      <c r="B1452" s="271" t="s">
        <v>391</v>
      </c>
      <c r="C1452" s="271"/>
      <c r="D1452" s="271"/>
      <c r="E1452" s="271"/>
      <c r="F1452" s="272"/>
      <c r="G1452" s="273">
        <v>421007</v>
      </c>
      <c r="H1452" s="274">
        <v>1000000</v>
      </c>
      <c r="I1452" s="275">
        <f>102069.72+113369.21+155.2+106077+125885.21+147366.97+141805.55+118179.77-155.2-252.2-213.4-213.4+144177.71</f>
        <v>998252.14000000013</v>
      </c>
      <c r="J1452" s="274">
        <v>144177.71</v>
      </c>
    </row>
    <row r="1453" spans="1:10" s="259" customFormat="1" ht="24" x14ac:dyDescent="0.55000000000000004">
      <c r="A1453" s="270" t="s">
        <v>355</v>
      </c>
      <c r="B1453" s="271" t="s">
        <v>468</v>
      </c>
      <c r="C1453" s="271"/>
      <c r="D1453" s="271"/>
      <c r="E1453" s="271"/>
      <c r="F1453" s="272"/>
      <c r="G1453" s="273">
        <v>421011</v>
      </c>
      <c r="H1453" s="274">
        <v>10000</v>
      </c>
      <c r="I1453" s="275"/>
      <c r="J1453" s="274"/>
    </row>
    <row r="1454" spans="1:10" s="259" customFormat="1" ht="24" x14ac:dyDescent="0.55000000000000004">
      <c r="A1454" s="290" t="s">
        <v>357</v>
      </c>
      <c r="B1454" s="259" t="s">
        <v>392</v>
      </c>
      <c r="G1454" s="273">
        <v>421012</v>
      </c>
      <c r="H1454" s="274">
        <v>30000</v>
      </c>
      <c r="I1454" s="275">
        <f>4875.42+6721.19</f>
        <v>11596.61</v>
      </c>
      <c r="J1454" s="274"/>
    </row>
    <row r="1455" spans="1:10" s="259" customFormat="1" ht="24" x14ac:dyDescent="0.55000000000000004">
      <c r="A1455" s="290" t="s">
        <v>359</v>
      </c>
      <c r="B1455" s="271" t="s">
        <v>393</v>
      </c>
      <c r="C1455" s="271"/>
      <c r="D1455" s="271"/>
      <c r="E1455" s="271"/>
      <c r="F1455" s="272"/>
      <c r="G1455" s="273">
        <v>421013</v>
      </c>
      <c r="H1455" s="274">
        <v>40000</v>
      </c>
      <c r="I1455" s="275">
        <f>7014.11+6835.44+5210.71</f>
        <v>19060.259999999998</v>
      </c>
      <c r="J1455" s="274"/>
    </row>
    <row r="1456" spans="1:10" s="259" customFormat="1" ht="24" x14ac:dyDescent="0.55000000000000004">
      <c r="A1456" s="270" t="s">
        <v>361</v>
      </c>
      <c r="B1456" s="271" t="s">
        <v>394</v>
      </c>
      <c r="C1456" s="271"/>
      <c r="D1456" s="271"/>
      <c r="E1456" s="271"/>
      <c r="F1456" s="272"/>
      <c r="G1456" s="273">
        <v>421015</v>
      </c>
      <c r="H1456" s="274">
        <v>1000000</v>
      </c>
      <c r="I1456" s="275">
        <f>110381.75+16924+53331+72684+14094+155752+80580</f>
        <v>503746.75</v>
      </c>
      <c r="J1456" s="274"/>
    </row>
    <row r="1457" spans="1:10" s="259" customFormat="1" ht="24" x14ac:dyDescent="0.55000000000000004">
      <c r="A1457" s="270" t="s">
        <v>363</v>
      </c>
      <c r="B1457" s="271" t="s">
        <v>395</v>
      </c>
      <c r="C1457" s="271"/>
      <c r="D1457" s="271"/>
      <c r="E1457" s="271"/>
      <c r="F1457" s="272"/>
      <c r="G1457" s="273">
        <v>421999</v>
      </c>
      <c r="H1457" s="274">
        <v>10000</v>
      </c>
      <c r="I1457" s="275"/>
      <c r="J1457" s="274"/>
    </row>
    <row r="1458" spans="1:10" s="259" customFormat="1" ht="24" x14ac:dyDescent="0.55000000000000004">
      <c r="A1458" s="270" t="s">
        <v>365</v>
      </c>
      <c r="B1458" s="271" t="s">
        <v>505</v>
      </c>
      <c r="C1458" s="271"/>
      <c r="D1458" s="271"/>
      <c r="E1458" s="271"/>
      <c r="F1458" s="272"/>
      <c r="G1458" s="273"/>
      <c r="H1458" s="268">
        <v>500000</v>
      </c>
      <c r="I1458" s="269">
        <f>767.81+34450.16+35453.95+35689.62+28991.29+36343.08</f>
        <v>171695.91000000003</v>
      </c>
      <c r="J1458" s="268">
        <v>36343.08</v>
      </c>
    </row>
    <row r="1459" spans="1:10" s="289" customFormat="1" ht="24" x14ac:dyDescent="0.55000000000000004">
      <c r="A1459" s="297"/>
      <c r="B1459" s="271"/>
      <c r="C1459" s="271"/>
      <c r="D1459" s="271"/>
      <c r="E1459" s="861" t="s">
        <v>151</v>
      </c>
      <c r="F1459" s="862"/>
      <c r="G1459" s="298"/>
      <c r="H1459" s="299">
        <f>SUM(H1448:H1458)</f>
        <v>11890000</v>
      </c>
      <c r="I1459" s="300">
        <f>SUM(I1448:I1458)</f>
        <v>8716206.8399999999</v>
      </c>
      <c r="J1459" s="299">
        <f>SUM(J1448:J1458)</f>
        <v>974248.12999999989</v>
      </c>
    </row>
    <row r="1460" spans="1:10" s="289" customFormat="1" ht="24" x14ac:dyDescent="0.55000000000000004">
      <c r="A1460" s="305"/>
      <c r="B1460" s="306"/>
      <c r="C1460" s="306"/>
      <c r="D1460" s="306"/>
      <c r="E1460" s="847"/>
      <c r="F1460" s="848"/>
      <c r="G1460" s="307"/>
      <c r="H1460" s="299"/>
      <c r="I1460" s="299"/>
      <c r="J1460" s="299"/>
    </row>
    <row r="1462" spans="1:10" s="289" customFormat="1" ht="24" x14ac:dyDescent="0.55000000000000004">
      <c r="A1462" s="849"/>
      <c r="B1462" s="849"/>
      <c r="C1462" s="849"/>
      <c r="D1462" s="849"/>
      <c r="G1462" s="265"/>
      <c r="H1462" s="258"/>
      <c r="I1462" s="258"/>
      <c r="J1462" s="258"/>
    </row>
    <row r="1463" spans="1:10" s="289" customFormat="1" ht="24" x14ac:dyDescent="0.55000000000000004">
      <c r="A1463" s="576"/>
      <c r="B1463" s="576"/>
      <c r="C1463" s="576"/>
      <c r="D1463" s="576"/>
      <c r="H1463" s="258"/>
      <c r="I1463" s="258"/>
      <c r="J1463" s="258"/>
    </row>
    <row r="1464" spans="1:10" s="289" customFormat="1" ht="24" x14ac:dyDescent="0.55000000000000004">
      <c r="A1464" s="576"/>
      <c r="B1464" s="576"/>
      <c r="C1464" s="576"/>
      <c r="D1464" s="576"/>
      <c r="H1464" s="258"/>
      <c r="I1464" s="258"/>
      <c r="J1464" s="258"/>
    </row>
    <row r="1465" spans="1:10" s="289" customFormat="1" ht="24" x14ac:dyDescent="0.55000000000000004">
      <c r="A1465" s="576"/>
      <c r="B1465" s="576"/>
      <c r="C1465" s="576"/>
      <c r="D1465" s="576"/>
      <c r="H1465" s="258"/>
      <c r="I1465" s="258"/>
      <c r="J1465" s="258"/>
    </row>
    <row r="1466" spans="1:10" s="289" customFormat="1" ht="24" x14ac:dyDescent="0.55000000000000004">
      <c r="A1466" s="576"/>
      <c r="B1466" s="576"/>
      <c r="C1466" s="576"/>
      <c r="D1466" s="576"/>
      <c r="H1466" s="258"/>
      <c r="I1466" s="258"/>
      <c r="J1466" s="258"/>
    </row>
    <row r="1467" spans="1:10" s="289" customFormat="1" ht="24" x14ac:dyDescent="0.55000000000000004">
      <c r="A1467" s="576"/>
      <c r="B1467" s="576"/>
      <c r="C1467" s="576"/>
      <c r="D1467" s="576"/>
      <c r="H1467" s="258"/>
      <c r="I1467" s="258"/>
      <c r="J1467" s="258"/>
    </row>
    <row r="1468" spans="1:10" s="289" customFormat="1" ht="24" x14ac:dyDescent="0.55000000000000004">
      <c r="A1468" s="576"/>
      <c r="B1468" s="576"/>
      <c r="C1468" s="576"/>
      <c r="D1468" s="576"/>
      <c r="F1468" s="576" t="s">
        <v>491</v>
      </c>
      <c r="H1468" s="258"/>
      <c r="I1468" s="258"/>
      <c r="J1468" s="258"/>
    </row>
    <row r="1469" spans="1:10" s="289" customFormat="1" ht="24" x14ac:dyDescent="0.55000000000000004">
      <c r="A1469" s="576"/>
      <c r="B1469" s="576"/>
      <c r="C1469" s="576"/>
      <c r="D1469" s="576"/>
      <c r="F1469" s="576"/>
      <c r="H1469" s="258"/>
      <c r="I1469" s="258"/>
      <c r="J1469" s="258"/>
    </row>
    <row r="1470" spans="1:10" s="289" customFormat="1" ht="24" x14ac:dyDescent="0.55000000000000004">
      <c r="A1470" s="850"/>
      <c r="B1470" s="851"/>
      <c r="C1470" s="851"/>
      <c r="D1470" s="851"/>
      <c r="E1470" s="851"/>
      <c r="F1470" s="852"/>
      <c r="G1470" s="411" t="s">
        <v>78</v>
      </c>
      <c r="H1470" s="411" t="s">
        <v>6</v>
      </c>
      <c r="I1470" s="261" t="s">
        <v>335</v>
      </c>
      <c r="J1470" s="412" t="s">
        <v>336</v>
      </c>
    </row>
    <row r="1471" spans="1:10" s="289" customFormat="1" ht="24" x14ac:dyDescent="0.55000000000000004">
      <c r="A1471" s="301" t="s">
        <v>396</v>
      </c>
      <c r="B1471" s="302"/>
      <c r="C1471" s="271"/>
      <c r="D1471" s="271"/>
      <c r="E1471" s="271"/>
      <c r="F1471" s="272"/>
      <c r="G1471" s="298"/>
      <c r="H1471" s="268"/>
      <c r="I1471" s="269"/>
      <c r="J1471" s="268"/>
    </row>
    <row r="1472" spans="1:10" s="289" customFormat="1" ht="24" x14ac:dyDescent="0.55000000000000004">
      <c r="A1472" s="270" t="s">
        <v>339</v>
      </c>
      <c r="B1472" s="271" t="s">
        <v>469</v>
      </c>
      <c r="C1472" s="271"/>
      <c r="D1472" s="271"/>
      <c r="E1472" s="271"/>
      <c r="F1472" s="272"/>
      <c r="G1472" s="273">
        <v>431002</v>
      </c>
      <c r="H1472" s="274">
        <v>4750000</v>
      </c>
      <c r="I1472" s="275">
        <f>976141+976141</f>
        <v>1952282</v>
      </c>
      <c r="J1472" s="274"/>
    </row>
    <row r="1473" spans="1:10" s="289" customFormat="1" ht="24" x14ac:dyDescent="0.55000000000000004">
      <c r="A1473" s="397"/>
      <c r="B1473" s="271" t="s">
        <v>470</v>
      </c>
      <c r="C1473" s="271"/>
      <c r="D1473" s="271"/>
      <c r="E1473" s="392"/>
      <c r="F1473" s="398"/>
      <c r="G1473" s="298"/>
      <c r="H1473" s="402"/>
      <c r="I1473" s="402"/>
      <c r="J1473" s="402"/>
    </row>
    <row r="1474" spans="1:10" s="289" customFormat="1" ht="24" x14ac:dyDescent="0.55000000000000004">
      <c r="A1474" s="397"/>
      <c r="B1474" s="271" t="s">
        <v>483</v>
      </c>
      <c r="C1474" s="271"/>
      <c r="D1474" s="392"/>
      <c r="E1474" s="392"/>
      <c r="F1474" s="398"/>
      <c r="G1474" s="298"/>
      <c r="H1474" s="402"/>
      <c r="I1474" s="407">
        <f>69514+158955+135460+100272</f>
        <v>464201</v>
      </c>
      <c r="J1474" s="407">
        <v>100272</v>
      </c>
    </row>
    <row r="1475" spans="1:10" s="289" customFormat="1" ht="24" x14ac:dyDescent="0.55000000000000004">
      <c r="A1475" s="397"/>
      <c r="B1475" s="271" t="s">
        <v>481</v>
      </c>
      <c r="C1475" s="271"/>
      <c r="D1475" s="392"/>
      <c r="E1475" s="392"/>
      <c r="F1475" s="398"/>
      <c r="G1475" s="298"/>
      <c r="H1475" s="402"/>
      <c r="I1475" s="407">
        <f>244000+244000+316000+228360</f>
        <v>1032360</v>
      </c>
      <c r="J1475" s="407">
        <v>228360</v>
      </c>
    </row>
    <row r="1476" spans="1:10" s="289" customFormat="1" ht="24" x14ac:dyDescent="0.55000000000000004">
      <c r="A1476" s="397"/>
      <c r="B1476" s="271" t="s">
        <v>487</v>
      </c>
      <c r="C1476" s="271"/>
      <c r="D1476" s="271"/>
      <c r="E1476" s="271"/>
      <c r="F1476" s="272"/>
      <c r="G1476" s="298"/>
      <c r="H1476" s="274"/>
      <c r="I1476" s="275">
        <v>8000</v>
      </c>
      <c r="J1476" s="274"/>
    </row>
    <row r="1477" spans="1:10" s="289" customFormat="1" ht="24" x14ac:dyDescent="0.55000000000000004">
      <c r="A1477" s="397"/>
      <c r="B1477" s="291" t="s">
        <v>486</v>
      </c>
      <c r="C1477" s="291"/>
      <c r="D1477" s="291"/>
      <c r="E1477" s="265"/>
      <c r="F1477" s="266"/>
      <c r="G1477" s="402"/>
      <c r="H1477" s="274"/>
      <c r="I1477" s="275">
        <f>52500+4658</f>
        <v>57158</v>
      </c>
      <c r="J1477" s="274">
        <v>4658</v>
      </c>
    </row>
    <row r="1478" spans="1:10" s="289" customFormat="1" ht="24" x14ac:dyDescent="0.55000000000000004">
      <c r="A1478" s="397"/>
      <c r="B1478" s="271" t="s">
        <v>482</v>
      </c>
      <c r="C1478" s="271"/>
      <c r="D1478" s="271"/>
      <c r="E1478" s="392"/>
      <c r="F1478" s="398"/>
      <c r="G1478" s="402"/>
      <c r="H1478" s="274"/>
      <c r="I1478" s="275">
        <f>7500+7500+15000</f>
        <v>30000</v>
      </c>
      <c r="J1478" s="274"/>
    </row>
    <row r="1479" spans="1:10" s="289" customFormat="1" ht="24" x14ac:dyDescent="0.55000000000000004">
      <c r="A1479" s="397"/>
      <c r="B1479" s="392"/>
      <c r="C1479" s="392"/>
      <c r="D1479" s="392"/>
      <c r="E1479" s="392"/>
      <c r="F1479" s="398"/>
      <c r="G1479" s="402"/>
      <c r="H1479" s="274"/>
      <c r="I1479" s="275"/>
      <c r="J1479" s="274"/>
    </row>
    <row r="1480" spans="1:10" s="289" customFormat="1" ht="24" x14ac:dyDescent="0.55000000000000004">
      <c r="A1480" s="397"/>
      <c r="B1480" s="392"/>
      <c r="C1480" s="392"/>
      <c r="D1480" s="392"/>
      <c r="E1480" s="392"/>
      <c r="F1480" s="398"/>
      <c r="G1480" s="402"/>
      <c r="H1480" s="303"/>
      <c r="I1480" s="399"/>
      <c r="J1480" s="303"/>
    </row>
    <row r="1481" spans="1:10" s="289" customFormat="1" ht="24" x14ac:dyDescent="0.55000000000000004">
      <c r="A1481" s="305"/>
      <c r="B1481" s="306"/>
      <c r="C1481" s="306"/>
      <c r="D1481" s="306"/>
      <c r="E1481" s="847" t="s">
        <v>151</v>
      </c>
      <c r="F1481" s="848"/>
      <c r="G1481" s="307"/>
      <c r="H1481" s="299">
        <f>SUM(H1472)</f>
        <v>4750000</v>
      </c>
      <c r="I1481" s="299">
        <f>SUM(I1472:I1480)</f>
        <v>3544001</v>
      </c>
      <c r="J1481" s="299">
        <f>SUM(J1472:J1480)</f>
        <v>333290</v>
      </c>
    </row>
    <row r="1482" spans="1:10" s="289" customFormat="1" ht="28.5" customHeight="1" thickBot="1" x14ac:dyDescent="0.6">
      <c r="A1482" s="464"/>
      <c r="B1482" s="461"/>
      <c r="C1482" s="461"/>
      <c r="D1482" s="461"/>
      <c r="E1482" s="462" t="s">
        <v>612</v>
      </c>
      <c r="F1482" s="463"/>
      <c r="G1482" s="463"/>
      <c r="H1482" s="309">
        <f>+H1399+H1423+H1434+H1438+H1442+H1446+H1459+H1481</f>
        <v>22000000</v>
      </c>
      <c r="I1482" s="309">
        <f>+I1399+I1423+I1434+I1438+I1442+I1446+I1459+I1481</f>
        <v>18580429.48</v>
      </c>
      <c r="J1482" s="309">
        <f>+J1399+J1423+J1434+J1438+J1442+J1446+J1459+J1481</f>
        <v>1356458.9499999997</v>
      </c>
    </row>
    <row r="1483" spans="1:10" ht="24.75" thickTop="1" x14ac:dyDescent="0.55000000000000004">
      <c r="A1483" s="111"/>
      <c r="G1483" s="402"/>
      <c r="H1483" s="274"/>
      <c r="I1483" s="275"/>
      <c r="J1483" s="274"/>
    </row>
    <row r="1484" spans="1:10" ht="24" x14ac:dyDescent="0.55000000000000004">
      <c r="A1484" s="405" t="s">
        <v>477</v>
      </c>
      <c r="B1484" s="406"/>
      <c r="C1484" s="291"/>
      <c r="D1484" s="291"/>
      <c r="E1484" s="291"/>
      <c r="F1484" s="292"/>
      <c r="G1484" s="402"/>
      <c r="H1484" s="268"/>
      <c r="I1484" s="269"/>
      <c r="J1484" s="268"/>
    </row>
    <row r="1485" spans="1:10" ht="24" x14ac:dyDescent="0.55000000000000004">
      <c r="A1485" s="270" t="s">
        <v>339</v>
      </c>
      <c r="B1485" s="271" t="s">
        <v>476</v>
      </c>
      <c r="C1485" s="271"/>
      <c r="D1485" s="271"/>
      <c r="E1485" s="271"/>
      <c r="F1485" s="272"/>
      <c r="G1485" s="273"/>
      <c r="H1485" s="274"/>
      <c r="I1485" s="275"/>
      <c r="J1485" s="274"/>
    </row>
    <row r="1486" spans="1:10" ht="24" x14ac:dyDescent="0.55000000000000004">
      <c r="A1486" s="270"/>
      <c r="B1486" s="271" t="s">
        <v>484</v>
      </c>
      <c r="C1486" s="271"/>
      <c r="D1486" s="271"/>
      <c r="E1486" s="271"/>
      <c r="F1486" s="272"/>
      <c r="G1486" s="273"/>
      <c r="H1486" s="274"/>
      <c r="I1486" s="275">
        <f>1011900+674600+331700+657800+1206300</f>
        <v>3882300</v>
      </c>
      <c r="J1486" s="274"/>
    </row>
    <row r="1487" spans="1:10" ht="24" x14ac:dyDescent="0.55000000000000004">
      <c r="A1487" s="270"/>
      <c r="B1487" s="271" t="s">
        <v>485</v>
      </c>
      <c r="C1487" s="271"/>
      <c r="D1487" s="271"/>
      <c r="E1487" s="271"/>
      <c r="F1487" s="272"/>
      <c r="G1487" s="273"/>
      <c r="H1487" s="274"/>
      <c r="I1487" s="531">
        <f>136800+136800+45600+45600+164800</f>
        <v>529600</v>
      </c>
      <c r="J1487" s="274"/>
    </row>
    <row r="1488" spans="1:10" ht="24" x14ac:dyDescent="0.55000000000000004">
      <c r="A1488" s="270"/>
      <c r="B1488" s="302" t="s">
        <v>488</v>
      </c>
      <c r="C1488" s="302"/>
      <c r="D1488" s="302"/>
      <c r="E1488" s="271"/>
      <c r="F1488" s="272"/>
      <c r="G1488" s="273"/>
      <c r="H1488" s="274"/>
      <c r="I1488" s="275"/>
      <c r="J1488" s="274"/>
    </row>
    <row r="1489" spans="1:10" ht="24" x14ac:dyDescent="0.55000000000000004">
      <c r="A1489" s="270"/>
      <c r="B1489" s="271" t="s">
        <v>478</v>
      </c>
      <c r="C1489" s="271"/>
      <c r="D1489" s="271"/>
      <c r="E1489" s="271"/>
      <c r="F1489" s="272"/>
      <c r="G1489" s="273"/>
      <c r="H1489" s="274"/>
      <c r="I1489" s="275">
        <f>50400+72000</f>
        <v>122400</v>
      </c>
      <c r="J1489" s="274">
        <v>72000</v>
      </c>
    </row>
    <row r="1490" spans="1:10" ht="24" x14ac:dyDescent="0.55000000000000004">
      <c r="A1490" s="270"/>
      <c r="B1490" s="271" t="s">
        <v>479</v>
      </c>
      <c r="C1490" s="271"/>
      <c r="D1490" s="271"/>
      <c r="E1490" s="271"/>
      <c r="F1490" s="272"/>
      <c r="G1490" s="273"/>
      <c r="H1490" s="274"/>
      <c r="I1490" s="275">
        <f>118290+78860+17955+160150+80480</f>
        <v>455735</v>
      </c>
      <c r="J1490" s="274">
        <v>80480</v>
      </c>
    </row>
    <row r="1491" spans="1:10" ht="24" x14ac:dyDescent="0.55000000000000004">
      <c r="A1491" s="270"/>
      <c r="B1491" s="271" t="s">
        <v>522</v>
      </c>
      <c r="C1491" s="271"/>
      <c r="D1491" s="271"/>
      <c r="E1491" s="271"/>
      <c r="F1491" s="272"/>
      <c r="G1491" s="273"/>
      <c r="H1491" s="274"/>
      <c r="I1491" s="275">
        <f>21800+68400+45600+91200+45600</f>
        <v>272600</v>
      </c>
      <c r="J1491" s="274">
        <v>45600</v>
      </c>
    </row>
    <row r="1492" spans="1:10" ht="24" x14ac:dyDescent="0.55000000000000004">
      <c r="A1492" s="270"/>
      <c r="B1492" s="271" t="s">
        <v>521</v>
      </c>
      <c r="C1492" s="271"/>
      <c r="D1492" s="271"/>
      <c r="E1492" s="271"/>
      <c r="F1492" s="272"/>
      <c r="G1492" s="273"/>
      <c r="H1492" s="274"/>
      <c r="I1492" s="275">
        <f>1090+3420+2280+4560+2280</f>
        <v>13630</v>
      </c>
      <c r="J1492" s="274">
        <v>2280</v>
      </c>
    </row>
    <row r="1493" spans="1:10" ht="24" x14ac:dyDescent="0.55000000000000004">
      <c r="A1493" s="270"/>
      <c r="B1493" s="271" t="s">
        <v>489</v>
      </c>
      <c r="C1493" s="271"/>
      <c r="D1493" s="271"/>
      <c r="E1493" s="271"/>
      <c r="F1493" s="272"/>
      <c r="G1493" s="273"/>
      <c r="H1493" s="274"/>
      <c r="I1493" s="275"/>
      <c r="J1493" s="274"/>
    </row>
    <row r="1494" spans="1:10" ht="24" x14ac:dyDescent="0.55000000000000004">
      <c r="A1494" s="270"/>
      <c r="B1494" s="271" t="s">
        <v>490</v>
      </c>
      <c r="C1494" s="271"/>
      <c r="D1494" s="271"/>
      <c r="E1494" s="271"/>
      <c r="F1494" s="272"/>
      <c r="G1494" s="273"/>
      <c r="H1494" s="274"/>
      <c r="I1494" s="275"/>
      <c r="J1494" s="274"/>
    </row>
    <row r="1495" spans="1:10" ht="24" x14ac:dyDescent="0.55000000000000004">
      <c r="A1495" s="270"/>
      <c r="B1495" s="271"/>
      <c r="C1495" s="271"/>
      <c r="D1495" s="271"/>
      <c r="E1495" s="271"/>
      <c r="F1495" s="272"/>
      <c r="G1495" s="273"/>
      <c r="H1495" s="274"/>
      <c r="I1495" s="275"/>
      <c r="J1495" s="274"/>
    </row>
    <row r="1496" spans="1:10" ht="24" x14ac:dyDescent="0.55000000000000004">
      <c r="A1496" s="270"/>
      <c r="B1496" s="271"/>
      <c r="C1496" s="271"/>
      <c r="D1496" s="271"/>
      <c r="E1496" s="271"/>
      <c r="F1496" s="272"/>
      <c r="G1496" s="273"/>
      <c r="H1496" s="274"/>
      <c r="I1496" s="275"/>
      <c r="J1496" s="274"/>
    </row>
    <row r="1497" spans="1:10" ht="24" x14ac:dyDescent="0.55000000000000004">
      <c r="A1497" s="305"/>
      <c r="B1497" s="306"/>
      <c r="C1497" s="306"/>
      <c r="D1497" s="306"/>
      <c r="E1497" s="847" t="s">
        <v>151</v>
      </c>
      <c r="F1497" s="848"/>
      <c r="G1497" s="307"/>
      <c r="H1497" s="299">
        <f>SUM(H1486:H1496)</f>
        <v>0</v>
      </c>
      <c r="I1497" s="299">
        <f>SUM(I1486:I1496)</f>
        <v>5276265</v>
      </c>
      <c r="J1497" s="299">
        <f>SUM(J1484:J1496)</f>
        <v>200360</v>
      </c>
    </row>
    <row r="1498" spans="1:10" ht="24.75" thickBot="1" x14ac:dyDescent="0.6">
      <c r="A1498" s="428"/>
      <c r="B1498" s="265"/>
      <c r="C1498" s="265"/>
      <c r="D1498" s="265"/>
      <c r="E1498" s="420" t="s">
        <v>506</v>
      </c>
      <c r="G1498" s="265"/>
      <c r="H1498" s="425">
        <f>SUM(H1497)</f>
        <v>0</v>
      </c>
      <c r="I1498" s="425">
        <f>SUM(I1497)</f>
        <v>5276265</v>
      </c>
      <c r="J1498" s="425">
        <f>SUM(J1497)</f>
        <v>200360</v>
      </c>
    </row>
    <row r="1499" spans="1:10" ht="24" x14ac:dyDescent="0.55000000000000004">
      <c r="A1499" s="421"/>
      <c r="B1499" s="422"/>
      <c r="C1499" s="422"/>
      <c r="D1499" s="422"/>
      <c r="E1499" s="423" t="s">
        <v>613</v>
      </c>
      <c r="F1499" s="161"/>
      <c r="G1499" s="424"/>
      <c r="H1499" s="426"/>
      <c r="I1499" s="426">
        <f>+I1498+I1482</f>
        <v>23856694.48</v>
      </c>
      <c r="J1499" s="427">
        <f>+J1498+J1482</f>
        <v>1556818.9499999997</v>
      </c>
    </row>
    <row r="1500" spans="1:10" s="289" customFormat="1" ht="24" x14ac:dyDescent="0.55000000000000004"/>
    <row r="1501" spans="1:10" s="312" customFormat="1" ht="24" x14ac:dyDescent="0.55000000000000004"/>
    <row r="1502" spans="1:10" s="312" customFormat="1" ht="24" x14ac:dyDescent="0.55000000000000004"/>
    <row r="1503" spans="1:10" s="312" customFormat="1" ht="24" x14ac:dyDescent="0.55000000000000004"/>
    <row r="1508" spans="1:10" s="289" customFormat="1" ht="24" x14ac:dyDescent="0.55000000000000004">
      <c r="A1508" s="576"/>
      <c r="B1508" s="576"/>
      <c r="C1508" s="576"/>
      <c r="D1508" s="576"/>
      <c r="F1508" s="576" t="s">
        <v>634</v>
      </c>
      <c r="H1508" s="258"/>
      <c r="I1508" s="258"/>
      <c r="J1508" s="258"/>
    </row>
    <row r="1512" spans="1:10" ht="23.25" customHeight="1" x14ac:dyDescent="0.55000000000000004">
      <c r="A1512" s="850"/>
      <c r="B1512" s="851"/>
      <c r="C1512" s="851"/>
      <c r="D1512" s="851"/>
      <c r="E1512" s="851"/>
      <c r="F1512" s="852"/>
      <c r="G1512" s="411" t="s">
        <v>78</v>
      </c>
      <c r="H1512" s="411" t="s">
        <v>6</v>
      </c>
      <c r="I1512" s="261" t="s">
        <v>335</v>
      </c>
      <c r="J1512" s="412" t="s">
        <v>336</v>
      </c>
    </row>
    <row r="1513" spans="1:10" ht="24" x14ac:dyDescent="0.55000000000000004">
      <c r="A1513" s="304" t="s">
        <v>630</v>
      </c>
      <c r="B1513" s="302"/>
      <c r="C1513" s="271"/>
      <c r="D1513" s="271"/>
      <c r="E1513" s="271"/>
      <c r="F1513" s="272"/>
      <c r="G1513" s="273"/>
      <c r="H1513" s="274"/>
      <c r="I1513" s="275"/>
      <c r="J1513" s="274"/>
    </row>
    <row r="1514" spans="1:10" ht="24" x14ac:dyDescent="0.55000000000000004">
      <c r="A1514" s="270"/>
      <c r="B1514" s="271" t="s">
        <v>633</v>
      </c>
      <c r="C1514" s="271"/>
      <c r="D1514" s="271"/>
      <c r="E1514" s="271"/>
      <c r="F1514" s="272"/>
      <c r="G1514" s="273"/>
      <c r="H1514" s="274"/>
      <c r="I1514" s="275">
        <v>4282000</v>
      </c>
      <c r="J1514" s="274"/>
    </row>
    <row r="1515" spans="1:10" ht="24" x14ac:dyDescent="0.55000000000000004">
      <c r="A1515" s="270"/>
      <c r="B1515" s="271" t="s">
        <v>631</v>
      </c>
      <c r="C1515" s="271"/>
      <c r="D1515" s="271"/>
      <c r="E1515" s="271"/>
      <c r="F1515" s="272"/>
      <c r="G1515" s="273"/>
      <c r="H1515" s="274"/>
      <c r="I1515" s="275">
        <f>2315425.64+1074600</f>
        <v>3390025.64</v>
      </c>
      <c r="J1515" s="274">
        <v>1074600</v>
      </c>
    </row>
    <row r="1516" spans="1:10" ht="24" x14ac:dyDescent="0.55000000000000004">
      <c r="A1516" s="270"/>
      <c r="B1516" s="271" t="s">
        <v>632</v>
      </c>
      <c r="C1516" s="271"/>
      <c r="D1516" s="271"/>
      <c r="E1516" s="271"/>
      <c r="F1516" s="272"/>
      <c r="G1516" s="273"/>
      <c r="H1516" s="274"/>
      <c r="I1516" s="275"/>
      <c r="J1516" s="274"/>
    </row>
    <row r="1517" spans="1:10" ht="24" x14ac:dyDescent="0.55000000000000004">
      <c r="A1517" s="270"/>
      <c r="B1517" s="271" t="s">
        <v>631</v>
      </c>
      <c r="C1517" s="271"/>
      <c r="D1517" s="271"/>
      <c r="E1517" s="271"/>
      <c r="F1517" s="272"/>
      <c r="G1517" s="273"/>
      <c r="H1517" s="274"/>
      <c r="I1517" s="275">
        <v>1061425.6399999999</v>
      </c>
      <c r="J1517" s="274"/>
    </row>
    <row r="1518" spans="1:10" ht="24" x14ac:dyDescent="0.55000000000000004">
      <c r="A1518" s="270"/>
      <c r="B1518" s="271" t="s">
        <v>635</v>
      </c>
      <c r="C1518" s="271"/>
      <c r="D1518" s="271"/>
      <c r="E1518" s="271"/>
      <c r="F1518" s="272"/>
      <c r="G1518" s="273"/>
      <c r="H1518" s="274"/>
      <c r="I1518" s="275"/>
      <c r="J1518" s="274"/>
    </row>
    <row r="1519" spans="1:10" ht="24" x14ac:dyDescent="0.55000000000000004">
      <c r="A1519" s="270"/>
      <c r="B1519" s="271"/>
      <c r="C1519" s="271"/>
      <c r="D1519" s="271"/>
      <c r="E1519" s="271"/>
      <c r="F1519" s="272"/>
      <c r="G1519" s="273"/>
      <c r="H1519" s="274"/>
      <c r="I1519" s="275"/>
      <c r="J1519" s="274"/>
    </row>
    <row r="1520" spans="1:10" ht="24" x14ac:dyDescent="0.55000000000000004">
      <c r="A1520" s="270"/>
      <c r="B1520" s="271"/>
      <c r="C1520" s="271"/>
      <c r="D1520" s="271"/>
      <c r="E1520" s="271"/>
      <c r="F1520" s="272"/>
      <c r="G1520" s="273"/>
      <c r="H1520" s="274"/>
      <c r="I1520" s="275"/>
      <c r="J1520" s="274"/>
    </row>
    <row r="1521" spans="1:10" ht="24" x14ac:dyDescent="0.55000000000000004">
      <c r="A1521" s="270"/>
      <c r="B1521" s="271"/>
      <c r="C1521" s="271"/>
      <c r="D1521" s="271"/>
      <c r="E1521" s="271"/>
      <c r="F1521" s="272"/>
      <c r="G1521" s="273"/>
      <c r="H1521" s="274"/>
      <c r="I1521" s="275"/>
      <c r="J1521" s="274"/>
    </row>
    <row r="1522" spans="1:10" ht="24" x14ac:dyDescent="0.55000000000000004">
      <c r="A1522" s="270"/>
      <c r="B1522" s="271"/>
      <c r="C1522" s="271"/>
      <c r="D1522" s="271"/>
      <c r="E1522" s="271"/>
      <c r="F1522" s="272"/>
      <c r="G1522" s="273"/>
      <c r="H1522" s="274"/>
      <c r="I1522" s="275"/>
      <c r="J1522" s="274"/>
    </row>
    <row r="1523" spans="1:10" ht="24" x14ac:dyDescent="0.55000000000000004">
      <c r="A1523" s="270"/>
      <c r="B1523" s="271"/>
      <c r="C1523" s="271"/>
      <c r="D1523" s="271"/>
      <c r="E1523" s="271"/>
      <c r="F1523" s="272"/>
      <c r="G1523" s="273"/>
      <c r="H1523" s="274"/>
      <c r="I1523" s="275"/>
      <c r="J1523" s="274"/>
    </row>
    <row r="1524" spans="1:10" ht="24" x14ac:dyDescent="0.55000000000000004">
      <c r="A1524" s="270"/>
      <c r="B1524" s="271"/>
      <c r="C1524" s="271"/>
      <c r="D1524" s="271"/>
      <c r="E1524" s="271"/>
      <c r="F1524" s="272"/>
      <c r="G1524" s="273"/>
      <c r="H1524" s="274"/>
      <c r="I1524" s="275"/>
      <c r="J1524" s="274"/>
    </row>
    <row r="1525" spans="1:10" ht="24" customHeight="1" x14ac:dyDescent="0.55000000000000004">
      <c r="A1525" s="305"/>
      <c r="B1525" s="306"/>
      <c r="C1525" s="306"/>
      <c r="D1525" s="306"/>
      <c r="E1525" s="847" t="s">
        <v>151</v>
      </c>
      <c r="F1525" s="848"/>
      <c r="G1525" s="307"/>
      <c r="H1525" s="299">
        <f>SUM(H1515:H1524)</f>
        <v>0</v>
      </c>
      <c r="I1525" s="299">
        <f>SUM(I1514:I1524)</f>
        <v>8733451.2800000012</v>
      </c>
      <c r="J1525" s="299">
        <f>SUM(J1513:J1524)</f>
        <v>1074600</v>
      </c>
    </row>
    <row r="1526" spans="1:10" ht="27" customHeight="1" x14ac:dyDescent="0.55000000000000004">
      <c r="A1526" s="421"/>
      <c r="B1526" s="422"/>
      <c r="C1526" s="422"/>
      <c r="D1526" s="422"/>
      <c r="E1526" s="423" t="s">
        <v>613</v>
      </c>
      <c r="F1526" s="161"/>
      <c r="G1526" s="424"/>
      <c r="H1526" s="426"/>
      <c r="I1526" s="426">
        <f>+I1499+I1525</f>
        <v>32590145.760000002</v>
      </c>
      <c r="J1526" s="427">
        <f>+J1499+J1525</f>
        <v>2631418.9499999997</v>
      </c>
    </row>
    <row r="1531" spans="1:10" ht="24" x14ac:dyDescent="0.55000000000000004">
      <c r="A1531" s="400" t="s">
        <v>471</v>
      </c>
      <c r="B1531" s="400"/>
      <c r="C1531" s="400"/>
      <c r="D1531" s="400"/>
      <c r="E1531" s="400"/>
      <c r="F1531" s="400" t="s">
        <v>626</v>
      </c>
      <c r="G1531" s="401"/>
      <c r="H1531" s="401"/>
      <c r="I1531" s="258" t="s">
        <v>474</v>
      </c>
      <c r="J1531" s="258"/>
    </row>
    <row r="1532" spans="1:10" ht="24" x14ac:dyDescent="0.55000000000000004">
      <c r="A1532" s="400" t="s">
        <v>472</v>
      </c>
      <c r="B1532" s="400"/>
      <c r="C1532" s="400"/>
      <c r="D1532" s="400"/>
      <c r="E1532" s="400"/>
      <c r="F1532" s="400" t="s">
        <v>510</v>
      </c>
      <c r="G1532" s="401"/>
      <c r="H1532" s="401"/>
      <c r="I1532" s="258" t="s">
        <v>473</v>
      </c>
      <c r="J1532" s="258"/>
    </row>
    <row r="1533" spans="1:10" ht="24" x14ac:dyDescent="0.55000000000000004">
      <c r="A1533" s="312"/>
      <c r="B1533" s="312"/>
      <c r="C1533" s="312"/>
      <c r="D1533" s="312"/>
      <c r="E1533" s="312"/>
      <c r="F1533" s="400" t="s">
        <v>475</v>
      </c>
      <c r="G1533" s="401"/>
      <c r="H1533" s="401"/>
      <c r="I1533" s="313"/>
      <c r="J1533" s="313"/>
    </row>
    <row r="1534" spans="1:10" ht="24" x14ac:dyDescent="0.55000000000000004">
      <c r="A1534" s="312"/>
      <c r="B1534" s="312"/>
      <c r="C1534" s="312"/>
      <c r="D1534" s="312"/>
      <c r="E1534" s="312"/>
      <c r="F1534" s="400"/>
      <c r="G1534" s="401"/>
      <c r="H1534" s="401"/>
      <c r="I1534" s="313"/>
      <c r="J1534" s="313"/>
    </row>
    <row r="1535" spans="1:10" ht="24" x14ac:dyDescent="0.55000000000000004">
      <c r="A1535" s="312"/>
      <c r="B1535" s="312"/>
      <c r="C1535" s="312"/>
      <c r="D1535" s="312"/>
      <c r="E1535" s="312"/>
      <c r="F1535" s="400"/>
      <c r="G1535" s="401"/>
      <c r="H1535" s="401"/>
      <c r="I1535" s="313"/>
      <c r="J1535" s="313"/>
    </row>
    <row r="1536" spans="1:10" ht="24" x14ac:dyDescent="0.55000000000000004">
      <c r="A1536" s="312"/>
      <c r="B1536" s="312"/>
      <c r="C1536" s="312"/>
      <c r="D1536" s="312"/>
      <c r="E1536" s="312"/>
      <c r="F1536" s="400"/>
      <c r="G1536" s="401"/>
      <c r="H1536" s="401"/>
      <c r="I1536" s="313"/>
      <c r="J1536" s="313"/>
    </row>
    <row r="1537" spans="1:10" ht="24" x14ac:dyDescent="0.55000000000000004">
      <c r="A1537" s="312"/>
      <c r="B1537" s="312"/>
      <c r="C1537" s="312"/>
      <c r="D1537" s="312"/>
      <c r="E1537" s="312"/>
      <c r="F1537" s="400"/>
      <c r="G1537" s="401"/>
      <c r="H1537" s="401"/>
      <c r="I1537" s="313"/>
      <c r="J1537" s="313"/>
    </row>
    <row r="1538" spans="1:10" ht="24" x14ac:dyDescent="0.55000000000000004">
      <c r="A1538" s="312"/>
      <c r="B1538" s="312"/>
      <c r="C1538" s="312"/>
      <c r="D1538" s="312"/>
      <c r="E1538" s="312"/>
      <c r="F1538" s="400"/>
      <c r="G1538" s="401"/>
      <c r="H1538" s="401"/>
      <c r="I1538" s="313"/>
      <c r="J1538" s="313"/>
    </row>
    <row r="1539" spans="1:10" ht="24" x14ac:dyDescent="0.55000000000000004">
      <c r="A1539" s="312"/>
      <c r="B1539" s="312"/>
      <c r="C1539" s="312"/>
      <c r="D1539" s="312"/>
      <c r="E1539" s="312"/>
      <c r="F1539" s="400"/>
      <c r="G1539" s="401"/>
      <c r="H1539" s="401"/>
      <c r="I1539" s="313"/>
      <c r="J1539" s="313"/>
    </row>
    <row r="1540" spans="1:10" ht="24" x14ac:dyDescent="0.55000000000000004">
      <c r="A1540" s="312"/>
      <c r="B1540" s="312"/>
      <c r="C1540" s="312"/>
      <c r="D1540" s="312"/>
      <c r="E1540" s="312"/>
      <c r="F1540" s="400"/>
      <c r="G1540" s="401"/>
      <c r="H1540" s="401"/>
      <c r="I1540" s="313"/>
      <c r="J1540" s="313"/>
    </row>
    <row r="1541" spans="1:10" ht="24" x14ac:dyDescent="0.55000000000000004">
      <c r="A1541" s="312"/>
      <c r="B1541" s="312"/>
      <c r="C1541" s="312"/>
      <c r="D1541" s="312"/>
      <c r="E1541" s="312"/>
      <c r="F1541" s="400"/>
      <c r="G1541" s="401"/>
      <c r="H1541" s="401"/>
      <c r="I1541" s="313"/>
      <c r="J1541" s="313"/>
    </row>
    <row r="1542" spans="1:10" ht="24" x14ac:dyDescent="0.55000000000000004">
      <c r="A1542" s="312"/>
      <c r="B1542" s="312"/>
      <c r="C1542" s="312"/>
      <c r="D1542" s="312"/>
      <c r="E1542" s="312"/>
      <c r="F1542" s="400"/>
      <c r="G1542" s="401"/>
      <c r="H1542" s="401"/>
      <c r="I1542" s="313"/>
      <c r="J1542" s="313"/>
    </row>
    <row r="1543" spans="1:10" ht="24" x14ac:dyDescent="0.55000000000000004">
      <c r="A1543" s="312"/>
      <c r="B1543" s="312"/>
      <c r="C1543" s="312"/>
      <c r="D1543" s="312"/>
      <c r="E1543" s="312"/>
      <c r="F1543" s="400"/>
      <c r="G1543" s="401"/>
      <c r="H1543" s="401"/>
      <c r="I1543" s="313"/>
      <c r="J1543" s="313"/>
    </row>
    <row r="1544" spans="1:10" ht="24" x14ac:dyDescent="0.55000000000000004">
      <c r="A1544" s="312"/>
      <c r="B1544" s="312"/>
      <c r="C1544" s="312"/>
      <c r="D1544" s="312"/>
      <c r="E1544" s="312"/>
      <c r="F1544" s="400"/>
      <c r="G1544" s="401"/>
      <c r="H1544" s="401"/>
      <c r="I1544" s="313"/>
      <c r="J1544" s="313"/>
    </row>
    <row r="1545" spans="1:10" s="259" customFormat="1" ht="24" x14ac:dyDescent="0.55000000000000004">
      <c r="A1545" s="853" t="s">
        <v>76</v>
      </c>
      <c r="B1545" s="853"/>
      <c r="C1545" s="853"/>
      <c r="D1545" s="853"/>
      <c r="E1545" s="853"/>
      <c r="F1545" s="853"/>
      <c r="G1545" s="853"/>
      <c r="H1545" s="853"/>
      <c r="I1545" s="853"/>
      <c r="J1545" s="853"/>
    </row>
    <row r="1546" spans="1:10" s="259" customFormat="1" ht="24" x14ac:dyDescent="0.55000000000000004">
      <c r="A1546" s="853" t="s">
        <v>334</v>
      </c>
      <c r="B1546" s="853"/>
      <c r="C1546" s="853"/>
      <c r="D1546" s="853"/>
      <c r="E1546" s="853"/>
      <c r="F1546" s="853"/>
      <c r="G1546" s="853"/>
      <c r="H1546" s="853"/>
      <c r="I1546" s="853"/>
      <c r="J1546" s="853"/>
    </row>
    <row r="1547" spans="1:10" s="259" customFormat="1" ht="24" x14ac:dyDescent="0.55000000000000004">
      <c r="A1547" s="854" t="s">
        <v>651</v>
      </c>
      <c r="B1547" s="854"/>
      <c r="C1547" s="854"/>
      <c r="D1547" s="854"/>
      <c r="E1547" s="854"/>
      <c r="F1547" s="854"/>
      <c r="G1547" s="854"/>
      <c r="H1547" s="854"/>
      <c r="I1547" s="854"/>
      <c r="J1547" s="854"/>
    </row>
    <row r="1548" spans="1:10" s="259" customFormat="1" ht="24" x14ac:dyDescent="0.55000000000000004">
      <c r="A1548" s="855"/>
      <c r="B1548" s="856"/>
      <c r="C1548" s="856"/>
      <c r="D1548" s="856"/>
      <c r="E1548" s="856"/>
      <c r="F1548" s="857"/>
      <c r="G1548" s="260" t="s">
        <v>78</v>
      </c>
      <c r="H1548" s="260" t="s">
        <v>6</v>
      </c>
      <c r="I1548" s="261" t="s">
        <v>335</v>
      </c>
      <c r="J1548" s="262" t="s">
        <v>336</v>
      </c>
    </row>
    <row r="1549" spans="1:10" s="259" customFormat="1" ht="24" x14ac:dyDescent="0.55000000000000004">
      <c r="A1549" s="263" t="s">
        <v>337</v>
      </c>
      <c r="B1549" s="264"/>
      <c r="C1549" s="265"/>
      <c r="D1549" s="265"/>
      <c r="E1549" s="265"/>
      <c r="F1549" s="266"/>
      <c r="G1549" s="267"/>
      <c r="H1549" s="268"/>
      <c r="I1549" s="269"/>
      <c r="J1549" s="268"/>
    </row>
    <row r="1550" spans="1:10" s="259" customFormat="1" ht="24" x14ac:dyDescent="0.55000000000000004">
      <c r="A1550" s="263" t="s">
        <v>338</v>
      </c>
      <c r="B1550" s="264"/>
      <c r="C1550" s="265"/>
      <c r="D1550" s="265"/>
      <c r="E1550" s="265"/>
      <c r="F1550" s="266"/>
      <c r="G1550" s="267"/>
      <c r="H1550" s="268"/>
      <c r="I1550" s="269"/>
      <c r="J1550" s="268"/>
    </row>
    <row r="1551" spans="1:10" s="259" customFormat="1" ht="24" x14ac:dyDescent="0.55000000000000004">
      <c r="A1551" s="270" t="s">
        <v>339</v>
      </c>
      <c r="B1551" s="271" t="s">
        <v>340</v>
      </c>
      <c r="C1551" s="271"/>
      <c r="D1551" s="271"/>
      <c r="E1551" s="271"/>
      <c r="F1551" s="272"/>
      <c r="G1551" s="273">
        <v>411001</v>
      </c>
      <c r="H1551" s="274">
        <v>3900000</v>
      </c>
      <c r="I1551" s="275">
        <f>187018.1+4119328.13+9180+5575+18629.16</f>
        <v>4339730.3899999997</v>
      </c>
      <c r="J1551" s="274">
        <v>18629.16</v>
      </c>
    </row>
    <row r="1552" spans="1:10" s="259" customFormat="1" ht="24" x14ac:dyDescent="0.55000000000000004">
      <c r="A1552" s="270" t="s">
        <v>341</v>
      </c>
      <c r="B1552" s="271" t="s">
        <v>342</v>
      </c>
      <c r="C1552" s="271"/>
      <c r="D1552" s="271"/>
      <c r="E1552" s="271"/>
      <c r="F1552" s="272"/>
      <c r="G1552" s="273">
        <v>411002</v>
      </c>
      <c r="H1552" s="274">
        <v>50000</v>
      </c>
      <c r="I1552" s="275">
        <f>222.3+653.6+2296.15+2449.1+20855.35+16614.55+1774.6+682.1+1726.15+755.25</f>
        <v>48029.15</v>
      </c>
      <c r="J1552" s="274">
        <v>755.25</v>
      </c>
    </row>
    <row r="1553" spans="1:11" s="259" customFormat="1" ht="24" x14ac:dyDescent="0.55000000000000004">
      <c r="A1553" s="270" t="s">
        <v>343</v>
      </c>
      <c r="B1553" s="271" t="s">
        <v>344</v>
      </c>
      <c r="C1553" s="271"/>
      <c r="D1553" s="271"/>
      <c r="E1553" s="271"/>
      <c r="F1553" s="272"/>
      <c r="G1553" s="273">
        <v>411003</v>
      </c>
      <c r="H1553" s="274">
        <v>20000</v>
      </c>
      <c r="I1553" s="275">
        <f>2919+15360+800</f>
        <v>19079</v>
      </c>
      <c r="J1553" s="274"/>
    </row>
    <row r="1554" spans="1:11" s="259" customFormat="1" ht="24" x14ac:dyDescent="0.55000000000000004">
      <c r="A1554" s="270" t="s">
        <v>345</v>
      </c>
      <c r="B1554" s="271" t="s">
        <v>346</v>
      </c>
      <c r="C1554" s="271"/>
      <c r="D1554" s="271"/>
      <c r="E1554" s="271"/>
      <c r="F1554" s="272"/>
      <c r="G1554" s="273">
        <v>411004</v>
      </c>
      <c r="H1554" s="274">
        <v>0</v>
      </c>
      <c r="I1554" s="275">
        <v>0</v>
      </c>
      <c r="J1554" s="274">
        <v>0</v>
      </c>
    </row>
    <row r="1555" spans="1:11" s="259" customFormat="1" ht="24" x14ac:dyDescent="0.55000000000000004">
      <c r="A1555" s="270" t="s">
        <v>347</v>
      </c>
      <c r="B1555" s="271" t="s">
        <v>348</v>
      </c>
      <c r="C1555" s="271"/>
      <c r="D1555" s="271"/>
      <c r="E1555" s="271"/>
      <c r="F1555" s="272"/>
      <c r="G1555" s="273">
        <v>411005</v>
      </c>
      <c r="H1555" s="276">
        <v>100000</v>
      </c>
      <c r="I1555" s="277">
        <f>24629.02+645270.57+50322.79+48536.57</f>
        <v>768758.95</v>
      </c>
      <c r="J1555" s="276">
        <v>48536.57</v>
      </c>
    </row>
    <row r="1556" spans="1:11" s="259" customFormat="1" ht="24" x14ac:dyDescent="0.55000000000000004">
      <c r="A1556" s="270"/>
      <c r="B1556" s="271"/>
      <c r="C1556" s="271"/>
      <c r="D1556" s="271"/>
      <c r="E1556" s="271"/>
      <c r="F1556" s="272"/>
      <c r="G1556" s="273"/>
      <c r="H1556" s="299">
        <f>SUM(H1551:H1555)</f>
        <v>4070000</v>
      </c>
      <c r="I1556" s="300">
        <f>SUM(I1551:I1555)</f>
        <v>5175597.49</v>
      </c>
      <c r="J1556" s="299">
        <f>SUM(J1551:J1555)</f>
        <v>67920.98</v>
      </c>
    </row>
    <row r="1557" spans="1:11" s="259" customFormat="1" ht="24" x14ac:dyDescent="0.55000000000000004">
      <c r="A1557" s="263" t="s">
        <v>349</v>
      </c>
      <c r="B1557" s="278"/>
      <c r="C1557" s="278"/>
      <c r="D1557" s="278"/>
      <c r="E1557" s="279"/>
      <c r="F1557" s="280"/>
      <c r="G1557" s="281"/>
      <c r="H1557" s="282"/>
      <c r="I1557" s="283"/>
      <c r="J1557" s="268"/>
    </row>
    <row r="1558" spans="1:11" s="259" customFormat="1" ht="24" x14ac:dyDescent="0.55000000000000004">
      <c r="A1558" s="270" t="s">
        <v>339</v>
      </c>
      <c r="B1558" s="271" t="s">
        <v>350</v>
      </c>
      <c r="C1558" s="284"/>
      <c r="D1558" s="284"/>
      <c r="E1558" s="284"/>
      <c r="F1558" s="285"/>
      <c r="G1558" s="286">
        <v>412103</v>
      </c>
      <c r="H1558" s="287">
        <v>500</v>
      </c>
      <c r="I1558" s="288">
        <f>77.6+19.4+38.8+155.2+252.2+213.4+213.4</f>
        <v>970</v>
      </c>
      <c r="J1558" s="274"/>
    </row>
    <row r="1559" spans="1:11" s="259" customFormat="1" ht="24" x14ac:dyDescent="0.55000000000000004">
      <c r="A1559" s="270" t="s">
        <v>341</v>
      </c>
      <c r="B1559" s="271" t="s">
        <v>351</v>
      </c>
      <c r="C1559" s="284"/>
      <c r="D1559" s="284"/>
      <c r="E1559" s="284"/>
      <c r="F1559" s="285"/>
      <c r="G1559" s="286">
        <v>412104</v>
      </c>
      <c r="H1559" s="287">
        <v>500</v>
      </c>
      <c r="I1559" s="288"/>
      <c r="J1559" s="274"/>
    </row>
    <row r="1560" spans="1:11" s="259" customFormat="1" ht="24" x14ac:dyDescent="0.55000000000000004">
      <c r="A1560" s="270" t="s">
        <v>343</v>
      </c>
      <c r="B1560" s="271" t="s">
        <v>352</v>
      </c>
      <c r="C1560" s="284"/>
      <c r="D1560" s="284"/>
      <c r="E1560" s="284"/>
      <c r="F1560" s="285"/>
      <c r="G1560" s="286">
        <v>4120106</v>
      </c>
      <c r="H1560" s="287">
        <v>20000</v>
      </c>
      <c r="I1560" s="288">
        <f>292+24+164+2398+65+136+181+3166+216+698</f>
        <v>7340</v>
      </c>
      <c r="J1560" s="274">
        <v>698</v>
      </c>
    </row>
    <row r="1561" spans="1:11" s="259" customFormat="1" ht="24" x14ac:dyDescent="0.55000000000000004">
      <c r="A1561" s="270" t="s">
        <v>345</v>
      </c>
      <c r="B1561" s="271" t="s">
        <v>456</v>
      </c>
      <c r="C1561" s="284"/>
      <c r="D1561" s="284"/>
      <c r="E1561" s="284"/>
      <c r="F1561" s="285"/>
      <c r="G1561" s="286"/>
      <c r="H1561" s="287">
        <v>500</v>
      </c>
      <c r="I1561" s="288"/>
      <c r="J1561" s="274"/>
    </row>
    <row r="1562" spans="1:11" s="259" customFormat="1" ht="24" x14ac:dyDescent="0.55000000000000004">
      <c r="A1562" s="270" t="s">
        <v>347</v>
      </c>
      <c r="B1562" s="271" t="s">
        <v>457</v>
      </c>
      <c r="C1562" s="284"/>
      <c r="D1562" s="284"/>
      <c r="E1562" s="284"/>
      <c r="F1562" s="285"/>
      <c r="G1562" s="286"/>
      <c r="H1562" s="287">
        <v>500</v>
      </c>
      <c r="I1562" s="288"/>
      <c r="J1562" s="274"/>
    </row>
    <row r="1563" spans="1:11" s="259" customFormat="1" ht="24" x14ac:dyDescent="0.55000000000000004">
      <c r="A1563" s="270"/>
      <c r="B1563" s="271" t="s">
        <v>458</v>
      </c>
      <c r="C1563" s="284"/>
      <c r="D1563" s="284"/>
      <c r="E1563" s="284"/>
      <c r="F1563" s="285"/>
      <c r="G1563" s="286"/>
      <c r="H1563" s="287"/>
      <c r="I1563" s="288"/>
      <c r="J1563" s="274"/>
    </row>
    <row r="1564" spans="1:11" s="259" customFormat="1" ht="24" x14ac:dyDescent="0.55000000000000004">
      <c r="A1564" s="270" t="s">
        <v>355</v>
      </c>
      <c r="B1564" s="271" t="s">
        <v>459</v>
      </c>
      <c r="C1564" s="284"/>
      <c r="D1564" s="284"/>
      <c r="E1564" s="284"/>
      <c r="F1564" s="285"/>
      <c r="G1564" s="286"/>
      <c r="H1564" s="287">
        <v>500</v>
      </c>
      <c r="I1564" s="288"/>
      <c r="J1564" s="274"/>
    </row>
    <row r="1565" spans="1:11" s="259" customFormat="1" ht="24" x14ac:dyDescent="0.55000000000000004">
      <c r="A1565" s="270"/>
      <c r="B1565" s="271" t="s">
        <v>460</v>
      </c>
      <c r="C1565" s="284"/>
      <c r="D1565" s="284"/>
      <c r="E1565" s="284"/>
      <c r="F1565" s="285"/>
      <c r="G1565" s="286"/>
      <c r="H1565" s="287"/>
      <c r="I1565" s="288"/>
      <c r="J1565" s="274"/>
    </row>
    <row r="1566" spans="1:11" s="289" customFormat="1" ht="24" x14ac:dyDescent="0.55000000000000004">
      <c r="A1566" s="290" t="s">
        <v>357</v>
      </c>
      <c r="B1566" s="271" t="s">
        <v>353</v>
      </c>
      <c r="C1566" s="271"/>
      <c r="D1566" s="271"/>
      <c r="E1566" s="271"/>
      <c r="F1566" s="272"/>
      <c r="G1566" s="286">
        <v>412128</v>
      </c>
      <c r="H1566" s="274">
        <v>1000</v>
      </c>
      <c r="I1566" s="275">
        <f>50+50+50+100+50+70+50+120</f>
        <v>540</v>
      </c>
      <c r="J1566" s="274">
        <v>120</v>
      </c>
    </row>
    <row r="1567" spans="1:11" s="289" customFormat="1" ht="24" x14ac:dyDescent="0.55000000000000004">
      <c r="A1567" s="290" t="s">
        <v>359</v>
      </c>
      <c r="B1567" s="271" t="s">
        <v>461</v>
      </c>
      <c r="C1567" s="271"/>
      <c r="D1567" s="271"/>
      <c r="E1567" s="271"/>
      <c r="F1567" s="272"/>
      <c r="G1567" s="286"/>
      <c r="H1567" s="274">
        <v>500</v>
      </c>
      <c r="I1567" s="275"/>
      <c r="J1567" s="274"/>
      <c r="K1567" s="289">
        <v>1</v>
      </c>
    </row>
    <row r="1568" spans="1:11" s="289" customFormat="1" ht="24" x14ac:dyDescent="0.55000000000000004">
      <c r="A1568" s="270" t="s">
        <v>361</v>
      </c>
      <c r="B1568" s="271" t="s">
        <v>354</v>
      </c>
      <c r="C1568" s="271"/>
      <c r="D1568" s="271"/>
      <c r="E1568" s="271"/>
      <c r="F1568" s="272"/>
      <c r="G1568" s="286">
        <v>412199</v>
      </c>
      <c r="H1568" s="274">
        <v>1500</v>
      </c>
      <c r="I1568" s="275">
        <f>200+10+10+20+20+10+900</f>
        <v>1170</v>
      </c>
      <c r="J1568" s="274"/>
    </row>
    <row r="1569" spans="1:10" s="289" customFormat="1" ht="24" x14ac:dyDescent="0.55000000000000004">
      <c r="A1569" s="270" t="s">
        <v>363</v>
      </c>
      <c r="B1569" s="271" t="s">
        <v>356</v>
      </c>
      <c r="C1569" s="271"/>
      <c r="D1569" s="271"/>
      <c r="E1569" s="271"/>
      <c r="F1569" s="272"/>
      <c r="G1569" s="286"/>
      <c r="H1569" s="274">
        <v>1500</v>
      </c>
      <c r="I1569" s="275">
        <f>200+650+200+450+400</f>
        <v>1900</v>
      </c>
      <c r="J1569" s="274">
        <v>400</v>
      </c>
    </row>
    <row r="1570" spans="1:10" s="289" customFormat="1" ht="24" x14ac:dyDescent="0.55000000000000004">
      <c r="A1570" s="270" t="s">
        <v>365</v>
      </c>
      <c r="B1570" s="271" t="s">
        <v>358</v>
      </c>
      <c r="C1570" s="271"/>
      <c r="D1570" s="271"/>
      <c r="E1570" s="271"/>
      <c r="F1570" s="272"/>
      <c r="G1570" s="286"/>
      <c r="H1570" s="274">
        <v>50000</v>
      </c>
      <c r="I1570" s="275">
        <v>84320</v>
      </c>
      <c r="J1570" s="274"/>
    </row>
    <row r="1571" spans="1:10" s="289" customFormat="1" ht="24" x14ac:dyDescent="0.55000000000000004">
      <c r="A1571" s="270" t="s">
        <v>367</v>
      </c>
      <c r="B1571" s="271" t="s">
        <v>360</v>
      </c>
      <c r="C1571" s="271"/>
      <c r="D1571" s="271"/>
      <c r="E1571" s="271"/>
      <c r="F1571" s="272"/>
      <c r="G1571" s="286">
        <v>412211</v>
      </c>
      <c r="H1571" s="274">
        <v>500</v>
      </c>
      <c r="I1571" s="275"/>
      <c r="J1571" s="274"/>
    </row>
    <row r="1572" spans="1:10" s="291" customFormat="1" ht="24" x14ac:dyDescent="0.55000000000000004">
      <c r="A1572" s="270" t="s">
        <v>369</v>
      </c>
      <c r="B1572" s="291" t="s">
        <v>362</v>
      </c>
      <c r="F1572" s="292"/>
      <c r="G1572" s="293">
        <v>412299</v>
      </c>
      <c r="H1572" s="294">
        <v>500</v>
      </c>
      <c r="I1572" s="295"/>
      <c r="J1572" s="294"/>
    </row>
    <row r="1573" spans="1:10" s="265" customFormat="1" ht="24" x14ac:dyDescent="0.55000000000000004">
      <c r="A1573" s="270" t="s">
        <v>371</v>
      </c>
      <c r="B1573" s="291" t="s">
        <v>462</v>
      </c>
      <c r="C1573" s="291"/>
      <c r="D1573" s="291"/>
      <c r="E1573" s="291"/>
      <c r="F1573" s="292"/>
      <c r="G1573" s="293"/>
      <c r="H1573" s="294">
        <v>500</v>
      </c>
      <c r="I1573" s="295"/>
      <c r="J1573" s="294"/>
    </row>
    <row r="1574" spans="1:10" s="289" customFormat="1" ht="24" x14ac:dyDescent="0.55000000000000004">
      <c r="A1574" s="270" t="s">
        <v>373</v>
      </c>
      <c r="B1574" s="291" t="s">
        <v>364</v>
      </c>
      <c r="C1574" s="291"/>
      <c r="D1574" s="291"/>
      <c r="E1574" s="291"/>
      <c r="F1574" s="292"/>
      <c r="G1574" s="296">
        <v>412303</v>
      </c>
      <c r="H1574" s="294">
        <v>500</v>
      </c>
      <c r="I1574" s="295">
        <v>100</v>
      </c>
      <c r="J1574" s="294"/>
    </row>
    <row r="1575" spans="1:10" s="289" customFormat="1" ht="24" x14ac:dyDescent="0.55000000000000004">
      <c r="A1575" s="270" t="s">
        <v>463</v>
      </c>
      <c r="B1575" s="271" t="s">
        <v>366</v>
      </c>
      <c r="C1575" s="271"/>
      <c r="D1575" s="271"/>
      <c r="E1575" s="271"/>
      <c r="F1575" s="272"/>
      <c r="G1575" s="273">
        <v>412304</v>
      </c>
      <c r="H1575" s="274">
        <v>500</v>
      </c>
      <c r="I1575" s="275"/>
      <c r="J1575" s="274"/>
    </row>
    <row r="1576" spans="1:10" s="289" customFormat="1" ht="24" x14ac:dyDescent="0.55000000000000004">
      <c r="A1576" s="270" t="s">
        <v>464</v>
      </c>
      <c r="B1576" s="271" t="s">
        <v>368</v>
      </c>
      <c r="C1576" s="271"/>
      <c r="D1576" s="271"/>
      <c r="E1576" s="271"/>
      <c r="F1576" s="272"/>
      <c r="G1576" s="273">
        <v>412305</v>
      </c>
      <c r="H1576" s="274">
        <v>500</v>
      </c>
      <c r="I1576" s="275"/>
      <c r="J1576" s="274"/>
    </row>
    <row r="1577" spans="1:10" s="289" customFormat="1" ht="24" x14ac:dyDescent="0.55000000000000004">
      <c r="A1577" s="270" t="s">
        <v>465</v>
      </c>
      <c r="B1577" s="271" t="s">
        <v>370</v>
      </c>
      <c r="C1577" s="271"/>
      <c r="D1577" s="271"/>
      <c r="E1577" s="271"/>
      <c r="F1577" s="272"/>
      <c r="G1577" s="273">
        <v>412306</v>
      </c>
      <c r="H1577" s="276">
        <v>500</v>
      </c>
      <c r="I1577" s="277"/>
      <c r="J1577" s="274"/>
    </row>
    <row r="1578" spans="1:10" s="289" customFormat="1" ht="24" x14ac:dyDescent="0.55000000000000004">
      <c r="A1578" s="270" t="s">
        <v>466</v>
      </c>
      <c r="B1578" s="271" t="s">
        <v>372</v>
      </c>
      <c r="C1578" s="271"/>
      <c r="D1578" s="271"/>
      <c r="E1578" s="271"/>
      <c r="F1578" s="272"/>
      <c r="G1578" s="273">
        <v>412307</v>
      </c>
      <c r="H1578" s="276">
        <v>2000</v>
      </c>
      <c r="I1578" s="277">
        <f>20+20+40+80+20+60+40+100+40+80</f>
        <v>500</v>
      </c>
      <c r="J1578" s="274">
        <v>80</v>
      </c>
    </row>
    <row r="1579" spans="1:10" s="289" customFormat="1" ht="24" x14ac:dyDescent="0.55000000000000004">
      <c r="A1579" s="270" t="s">
        <v>467</v>
      </c>
      <c r="B1579" s="271" t="s">
        <v>374</v>
      </c>
      <c r="C1579" s="271"/>
      <c r="D1579" s="271"/>
      <c r="E1579" s="271"/>
      <c r="F1579" s="272"/>
      <c r="G1579" s="273">
        <v>412399</v>
      </c>
      <c r="H1579" s="276">
        <v>500</v>
      </c>
      <c r="I1579" s="277">
        <f>70+30+20+500+500+10</f>
        <v>1130</v>
      </c>
      <c r="J1579" s="268"/>
    </row>
    <row r="1580" spans="1:10" s="289" customFormat="1" ht="24" x14ac:dyDescent="0.55000000000000004">
      <c r="A1580" s="305"/>
      <c r="B1580" s="306"/>
      <c r="C1580" s="306"/>
      <c r="D1580" s="306"/>
      <c r="E1580" s="847"/>
      <c r="F1580" s="848"/>
      <c r="G1580" s="396"/>
      <c r="H1580" s="299">
        <f>SUM(H1558:H1579)</f>
        <v>83000</v>
      </c>
      <c r="I1580" s="300">
        <f>SUM(I1558:I1579)</f>
        <v>97970</v>
      </c>
      <c r="J1580" s="299">
        <f>SUM(J1558:J1579)</f>
        <v>1298</v>
      </c>
    </row>
    <row r="1585" spans="1:10" s="289" customFormat="1" ht="24" x14ac:dyDescent="0.55000000000000004">
      <c r="A1585" s="858" t="s">
        <v>455</v>
      </c>
      <c r="B1585" s="858"/>
      <c r="C1585" s="858"/>
      <c r="D1585" s="858"/>
      <c r="E1585" s="858"/>
      <c r="F1585" s="858"/>
      <c r="G1585" s="858"/>
      <c r="H1585" s="858"/>
      <c r="I1585" s="858"/>
      <c r="J1585" s="858"/>
    </row>
    <row r="1586" spans="1:10" s="289" customFormat="1" ht="24" x14ac:dyDescent="0.55000000000000004">
      <c r="A1586" s="395"/>
      <c r="B1586" s="395"/>
      <c r="C1586" s="395"/>
      <c r="D1586" s="395"/>
      <c r="E1586" s="395"/>
      <c r="F1586" s="395"/>
      <c r="G1586" s="395"/>
      <c r="H1586" s="395"/>
      <c r="I1586" s="395"/>
      <c r="J1586" s="395"/>
    </row>
    <row r="1587" spans="1:10" s="259" customFormat="1" ht="24" x14ac:dyDescent="0.55000000000000004">
      <c r="A1587" s="855"/>
      <c r="B1587" s="856"/>
      <c r="C1587" s="856"/>
      <c r="D1587" s="856"/>
      <c r="E1587" s="856"/>
      <c r="F1587" s="857"/>
      <c r="G1587" s="260" t="s">
        <v>78</v>
      </c>
      <c r="H1587" s="260" t="s">
        <v>6</v>
      </c>
      <c r="I1587" s="261" t="s">
        <v>335</v>
      </c>
      <c r="J1587" s="262" t="s">
        <v>336</v>
      </c>
    </row>
    <row r="1588" spans="1:10" s="289" customFormat="1" ht="24" x14ac:dyDescent="0.55000000000000004">
      <c r="A1588" s="301" t="s">
        <v>375</v>
      </c>
      <c r="B1588" s="302"/>
      <c r="C1588" s="302"/>
      <c r="D1588" s="271"/>
      <c r="E1588" s="271"/>
      <c r="F1588" s="272"/>
      <c r="G1588" s="298"/>
      <c r="H1588" s="268"/>
      <c r="I1588" s="269"/>
      <c r="J1588" s="268"/>
    </row>
    <row r="1589" spans="1:10" s="289" customFormat="1" ht="24" x14ac:dyDescent="0.55000000000000004">
      <c r="A1589" s="270" t="s">
        <v>339</v>
      </c>
      <c r="B1589" s="271" t="s">
        <v>376</v>
      </c>
      <c r="C1589" s="271"/>
      <c r="D1589" s="271"/>
      <c r="E1589" s="271"/>
      <c r="F1589" s="272"/>
      <c r="G1589" s="273">
        <v>413003</v>
      </c>
      <c r="H1589" s="276">
        <v>100000</v>
      </c>
      <c r="I1589" s="277">
        <f>33122.75+16284.37+24237.67</f>
        <v>73644.790000000008</v>
      </c>
      <c r="J1589" s="274"/>
    </row>
    <row r="1590" spans="1:10" s="259" customFormat="1" ht="24" x14ac:dyDescent="0.55000000000000004">
      <c r="A1590" s="270" t="s">
        <v>341</v>
      </c>
      <c r="B1590" s="271" t="s">
        <v>377</v>
      </c>
      <c r="C1590" s="271"/>
      <c r="D1590" s="271"/>
      <c r="E1590" s="271"/>
      <c r="F1590" s="272"/>
      <c r="G1590" s="273">
        <v>413999</v>
      </c>
      <c r="H1590" s="276">
        <v>10000</v>
      </c>
      <c r="I1590" s="277">
        <v>0</v>
      </c>
      <c r="J1590" s="268">
        <v>0</v>
      </c>
    </row>
    <row r="1591" spans="1:10" s="259" customFormat="1" ht="24" x14ac:dyDescent="0.55000000000000004">
      <c r="A1591" s="270"/>
      <c r="B1591" s="271"/>
      <c r="C1591" s="271"/>
      <c r="D1591" s="271"/>
      <c r="E1591" s="271"/>
      <c r="F1591" s="272"/>
      <c r="G1591" s="273"/>
      <c r="H1591" s="299">
        <f>SUM(H1589:H1590)</f>
        <v>110000</v>
      </c>
      <c r="I1591" s="300">
        <f>SUM(I1589:I1590)</f>
        <v>73644.790000000008</v>
      </c>
      <c r="J1591" s="299">
        <f>SUM(J1589:J1590)</f>
        <v>0</v>
      </c>
    </row>
    <row r="1592" spans="1:10" s="289" customFormat="1" ht="24" x14ac:dyDescent="0.55000000000000004">
      <c r="A1592" s="301" t="s">
        <v>378</v>
      </c>
      <c r="B1592" s="302"/>
      <c r="C1592" s="302"/>
      <c r="D1592" s="302"/>
      <c r="E1592" s="302"/>
      <c r="F1592" s="272"/>
      <c r="G1592" s="298"/>
      <c r="H1592" s="268"/>
      <c r="I1592" s="269"/>
      <c r="J1592" s="268"/>
    </row>
    <row r="1593" spans="1:10" s="289" customFormat="1" ht="24" x14ac:dyDescent="0.55000000000000004">
      <c r="A1593" s="270"/>
      <c r="B1593" s="271" t="s">
        <v>21</v>
      </c>
      <c r="C1593" s="271"/>
      <c r="D1593" s="271"/>
      <c r="E1593" s="271"/>
      <c r="F1593" s="272"/>
      <c r="G1593" s="273">
        <v>414006</v>
      </c>
      <c r="H1593" s="274">
        <v>1000000</v>
      </c>
      <c r="I1593" s="275">
        <f>41213+40907+47749+76891+68560+118069+65793+43770+118003+21586+167914</f>
        <v>810455</v>
      </c>
      <c r="J1593" s="274">
        <v>167914</v>
      </c>
    </row>
    <row r="1594" spans="1:10" s="289" customFormat="1" ht="24" x14ac:dyDescent="0.55000000000000004">
      <c r="A1594" s="270" t="s">
        <v>341</v>
      </c>
      <c r="B1594" s="271" t="s">
        <v>379</v>
      </c>
      <c r="C1594" s="271"/>
      <c r="D1594" s="271"/>
      <c r="E1594" s="271"/>
      <c r="F1594" s="272"/>
      <c r="G1594" s="273">
        <v>414999</v>
      </c>
      <c r="H1594" s="268">
        <v>5000</v>
      </c>
      <c r="I1594" s="269">
        <f>200+200+200+400+200+400+400+200+200+200+800</f>
        <v>3400</v>
      </c>
      <c r="J1594" s="303">
        <v>800</v>
      </c>
    </row>
    <row r="1595" spans="1:10" s="289" customFormat="1" ht="24" x14ac:dyDescent="0.55000000000000004">
      <c r="A1595" s="391"/>
      <c r="B1595" s="392"/>
      <c r="C1595" s="392"/>
      <c r="D1595" s="392"/>
      <c r="E1595" s="859" t="s">
        <v>151</v>
      </c>
      <c r="F1595" s="860"/>
      <c r="G1595" s="393"/>
      <c r="H1595" s="299">
        <f>SUM(H1593:H1594)</f>
        <v>1005000</v>
      </c>
      <c r="I1595" s="300">
        <f>SUM(I1593:I1594)</f>
        <v>813855</v>
      </c>
      <c r="J1595" s="299">
        <f>SUM(J1593:J1594)</f>
        <v>168714</v>
      </c>
    </row>
    <row r="1596" spans="1:10" s="289" customFormat="1" ht="24" x14ac:dyDescent="0.55000000000000004">
      <c r="A1596" s="301" t="s">
        <v>380</v>
      </c>
      <c r="B1596" s="302"/>
      <c r="C1596" s="302"/>
      <c r="D1596" s="271"/>
      <c r="E1596" s="271"/>
      <c r="F1596" s="272"/>
      <c r="G1596" s="298"/>
      <c r="H1596" s="268"/>
      <c r="I1596" s="269"/>
      <c r="J1596" s="268"/>
    </row>
    <row r="1597" spans="1:10" s="289" customFormat="1" ht="24" x14ac:dyDescent="0.55000000000000004">
      <c r="A1597" s="270" t="s">
        <v>339</v>
      </c>
      <c r="B1597" s="271" t="s">
        <v>381</v>
      </c>
      <c r="C1597" s="271"/>
      <c r="D1597" s="271"/>
      <c r="E1597" s="271"/>
      <c r="F1597" s="272"/>
      <c r="G1597" s="273">
        <v>415004</v>
      </c>
      <c r="H1597" s="274">
        <v>80000</v>
      </c>
      <c r="I1597" s="277">
        <f>3000+7200+1800+4500</f>
        <v>16500</v>
      </c>
      <c r="J1597" s="274"/>
    </row>
    <row r="1598" spans="1:10" s="289" customFormat="1" ht="24" x14ac:dyDescent="0.55000000000000004">
      <c r="A1598" s="270" t="s">
        <v>341</v>
      </c>
      <c r="B1598" s="271" t="s">
        <v>382</v>
      </c>
      <c r="C1598" s="271"/>
      <c r="D1598" s="271"/>
      <c r="E1598" s="271"/>
      <c r="F1598" s="272"/>
      <c r="G1598" s="273">
        <v>415999</v>
      </c>
      <c r="H1598" s="276">
        <v>10000</v>
      </c>
      <c r="I1598" s="277">
        <f>500+376417.34+5+10+10</f>
        <v>376942.34</v>
      </c>
      <c r="J1598" s="268">
        <v>20</v>
      </c>
    </row>
    <row r="1599" spans="1:10" s="289" customFormat="1" ht="24" x14ac:dyDescent="0.55000000000000004">
      <c r="A1599" s="270"/>
      <c r="B1599" s="271"/>
      <c r="C1599" s="271"/>
      <c r="D1599" s="271"/>
      <c r="E1599" s="271"/>
      <c r="F1599" s="272"/>
      <c r="G1599" s="273"/>
      <c r="H1599" s="299">
        <f>SUM(H1597:H1598)</f>
        <v>90000</v>
      </c>
      <c r="I1599" s="300">
        <f>SUM(I1597:I1598)</f>
        <v>393442.34</v>
      </c>
      <c r="J1599" s="299">
        <f>SUM(J1597:J1598)</f>
        <v>20</v>
      </c>
    </row>
    <row r="1600" spans="1:10" s="289" customFormat="1" ht="24" x14ac:dyDescent="0.55000000000000004">
      <c r="A1600" s="301" t="s">
        <v>383</v>
      </c>
      <c r="B1600" s="302"/>
      <c r="C1600" s="302"/>
      <c r="D1600" s="271"/>
      <c r="E1600" s="271"/>
      <c r="F1600" s="272"/>
      <c r="G1600" s="298"/>
      <c r="H1600" s="268"/>
      <c r="I1600" s="269"/>
      <c r="J1600" s="268"/>
    </row>
    <row r="1601" spans="1:10" s="289" customFormat="1" ht="24" x14ac:dyDescent="0.55000000000000004">
      <c r="A1601" s="270" t="s">
        <v>339</v>
      </c>
      <c r="B1601" s="271" t="s">
        <v>384</v>
      </c>
      <c r="C1601" s="271"/>
      <c r="D1601" s="271"/>
      <c r="E1601" s="271"/>
      <c r="F1601" s="272"/>
      <c r="G1601" s="273">
        <v>416001</v>
      </c>
      <c r="H1601" s="274">
        <v>2000</v>
      </c>
      <c r="I1601" s="277">
        <v>3665</v>
      </c>
      <c r="J1601" s="274">
        <v>0</v>
      </c>
    </row>
    <row r="1602" spans="1:10" s="289" customFormat="1" ht="24" x14ac:dyDescent="0.55000000000000004">
      <c r="A1602" s="270" t="s">
        <v>341</v>
      </c>
      <c r="B1602" s="271" t="s">
        <v>385</v>
      </c>
      <c r="C1602" s="271"/>
      <c r="D1602" s="271"/>
      <c r="E1602" s="271"/>
      <c r="F1602" s="272"/>
      <c r="G1602" s="273">
        <v>416999</v>
      </c>
      <c r="H1602" s="276">
        <v>0</v>
      </c>
      <c r="I1602" s="277">
        <v>0</v>
      </c>
      <c r="J1602" s="268">
        <v>0</v>
      </c>
    </row>
    <row r="1603" spans="1:10" s="289" customFormat="1" ht="24" x14ac:dyDescent="0.55000000000000004">
      <c r="A1603" s="270"/>
      <c r="B1603" s="271"/>
      <c r="C1603" s="271"/>
      <c r="D1603" s="271"/>
      <c r="E1603" s="271"/>
      <c r="F1603" s="272"/>
      <c r="G1603" s="273"/>
      <c r="H1603" s="299">
        <f>SUM(H1601:H1602)</f>
        <v>2000</v>
      </c>
      <c r="I1603" s="300">
        <f>SUM(I1601:I1602)</f>
        <v>3665</v>
      </c>
      <c r="J1603" s="299">
        <f>SUM(J1601:J1602)</f>
        <v>0</v>
      </c>
    </row>
    <row r="1604" spans="1:10" s="289" customFormat="1" ht="24" x14ac:dyDescent="0.55000000000000004">
      <c r="A1604" s="304" t="s">
        <v>386</v>
      </c>
      <c r="B1604" s="271"/>
      <c r="C1604" s="271"/>
      <c r="D1604" s="271"/>
      <c r="E1604" s="271"/>
      <c r="F1604" s="272"/>
      <c r="G1604" s="273"/>
      <c r="H1604" s="268"/>
      <c r="I1604" s="269"/>
      <c r="J1604" s="268"/>
    </row>
    <row r="1605" spans="1:10" s="259" customFormat="1" ht="24" x14ac:dyDescent="0.55000000000000004">
      <c r="A1605" s="270" t="s">
        <v>339</v>
      </c>
      <c r="B1605" s="271" t="s">
        <v>387</v>
      </c>
      <c r="C1605" s="271"/>
      <c r="D1605" s="271"/>
      <c r="E1605" s="271"/>
      <c r="F1605" s="272"/>
      <c r="G1605" s="273">
        <v>421002</v>
      </c>
      <c r="H1605" s="274">
        <v>7000000</v>
      </c>
      <c r="I1605" s="274">
        <f>576013.89+578421.62+586350.36+110502.39+605668.57+625606.99+622485.21+626432.16+541661.25+581816.39+1233293.3</f>
        <v>6688252.1299999999</v>
      </c>
      <c r="J1605" s="274">
        <v>1233293.3</v>
      </c>
    </row>
    <row r="1606" spans="1:10" s="259" customFormat="1" ht="24" x14ac:dyDescent="0.55000000000000004">
      <c r="A1606" s="270" t="s">
        <v>341</v>
      </c>
      <c r="B1606" s="271" t="s">
        <v>388</v>
      </c>
      <c r="C1606" s="271"/>
      <c r="D1606" s="271"/>
      <c r="E1606" s="271"/>
      <c r="F1606" s="272"/>
      <c r="G1606" s="273">
        <v>421004</v>
      </c>
      <c r="H1606" s="274">
        <v>1500000</v>
      </c>
      <c r="I1606" s="274">
        <f>113953.78+131505.43+128502.61+128239.4+124886.95+141721.59+115012.16+145485.38+122709.93</f>
        <v>1152017.23</v>
      </c>
      <c r="J1606" s="274">
        <v>122709.93</v>
      </c>
    </row>
    <row r="1607" spans="1:10" s="259" customFormat="1" ht="24" x14ac:dyDescent="0.55000000000000004">
      <c r="A1607" s="270" t="s">
        <v>343</v>
      </c>
      <c r="B1607" s="271" t="s">
        <v>389</v>
      </c>
      <c r="C1607" s="271"/>
      <c r="D1607" s="271"/>
      <c r="E1607" s="271"/>
      <c r="F1607" s="272"/>
      <c r="G1607" s="273">
        <v>421005</v>
      </c>
      <c r="H1607" s="274">
        <v>100000</v>
      </c>
      <c r="I1607" s="274">
        <f>2747.3+3451.03+11616.96+6332.98+5128.71+6834.08+3963.25+10316.19</f>
        <v>50390.5</v>
      </c>
      <c r="J1607" s="274">
        <v>10316.19</v>
      </c>
    </row>
    <row r="1608" spans="1:10" s="259" customFormat="1" ht="24" x14ac:dyDescent="0.55000000000000004">
      <c r="A1608" s="270" t="s">
        <v>345</v>
      </c>
      <c r="B1608" s="271" t="s">
        <v>390</v>
      </c>
      <c r="C1608" s="271"/>
      <c r="D1608" s="271"/>
      <c r="E1608" s="271"/>
      <c r="F1608" s="272"/>
      <c r="G1608" s="273">
        <v>421006</v>
      </c>
      <c r="H1608" s="274">
        <v>700000</v>
      </c>
      <c r="I1608" s="274">
        <f>47274.97+53800.47+56240.22+68576.03+61149.91+92271.74+45739.07+62462.32+44653.72</f>
        <v>532168.44999999995</v>
      </c>
      <c r="J1608" s="274">
        <v>44653.72</v>
      </c>
    </row>
    <row r="1609" spans="1:10" s="259" customFormat="1" ht="24" x14ac:dyDescent="0.55000000000000004">
      <c r="A1609" s="270" t="s">
        <v>347</v>
      </c>
      <c r="B1609" s="271" t="s">
        <v>391</v>
      </c>
      <c r="C1609" s="271"/>
      <c r="D1609" s="271"/>
      <c r="E1609" s="271"/>
      <c r="F1609" s="272"/>
      <c r="G1609" s="273">
        <v>421007</v>
      </c>
      <c r="H1609" s="274">
        <v>1000000</v>
      </c>
      <c r="I1609" s="275">
        <f>102069.72+113369.21+155.2+106077+125885.21+147366.97+141805.55+118179.77-155.2-252.2-213.4-213.4+144177.71+126768.83</f>
        <v>1125020.9700000002</v>
      </c>
      <c r="J1609" s="274">
        <v>126768.83</v>
      </c>
    </row>
    <row r="1610" spans="1:10" s="259" customFormat="1" ht="24" x14ac:dyDescent="0.55000000000000004">
      <c r="A1610" s="270" t="s">
        <v>355</v>
      </c>
      <c r="B1610" s="271" t="s">
        <v>468</v>
      </c>
      <c r="C1610" s="271"/>
      <c r="D1610" s="271"/>
      <c r="E1610" s="271"/>
      <c r="F1610" s="272"/>
      <c r="G1610" s="273">
        <v>421011</v>
      </c>
      <c r="H1610" s="274">
        <v>10000</v>
      </c>
      <c r="I1610" s="275"/>
      <c r="J1610" s="274"/>
    </row>
    <row r="1611" spans="1:10" s="259" customFormat="1" ht="24" x14ac:dyDescent="0.55000000000000004">
      <c r="A1611" s="290" t="s">
        <v>357</v>
      </c>
      <c r="B1611" s="259" t="s">
        <v>392</v>
      </c>
      <c r="G1611" s="273">
        <v>421012</v>
      </c>
      <c r="H1611" s="274">
        <v>30000</v>
      </c>
      <c r="I1611" s="275">
        <f>4875.42+6721.19</f>
        <v>11596.61</v>
      </c>
      <c r="J1611" s="274"/>
    </row>
    <row r="1612" spans="1:10" s="259" customFormat="1" ht="24" x14ac:dyDescent="0.55000000000000004">
      <c r="A1612" s="290" t="s">
        <v>359</v>
      </c>
      <c r="B1612" s="271" t="s">
        <v>393</v>
      </c>
      <c r="C1612" s="271"/>
      <c r="D1612" s="271"/>
      <c r="E1612" s="271"/>
      <c r="F1612" s="272"/>
      <c r="G1612" s="273">
        <v>421013</v>
      </c>
      <c r="H1612" s="274">
        <v>40000</v>
      </c>
      <c r="I1612" s="275">
        <f>7014.11+6835.44+5210.71+4678.15</f>
        <v>23738.409999999996</v>
      </c>
      <c r="J1612" s="274">
        <v>4678.1499999999996</v>
      </c>
    </row>
    <row r="1613" spans="1:10" s="259" customFormat="1" ht="24" x14ac:dyDescent="0.55000000000000004">
      <c r="A1613" s="270" t="s">
        <v>361</v>
      </c>
      <c r="B1613" s="271" t="s">
        <v>394</v>
      </c>
      <c r="C1613" s="271"/>
      <c r="D1613" s="271"/>
      <c r="E1613" s="271"/>
      <c r="F1613" s="272"/>
      <c r="G1613" s="273">
        <v>421015</v>
      </c>
      <c r="H1613" s="274">
        <v>1000000</v>
      </c>
      <c r="I1613" s="275">
        <f>110381.75+16924+53331+72684+14094+155752+80580+48382</f>
        <v>552128.75</v>
      </c>
      <c r="J1613" s="274">
        <v>48382</v>
      </c>
    </row>
    <row r="1614" spans="1:10" s="259" customFormat="1" ht="24" x14ac:dyDescent="0.55000000000000004">
      <c r="A1614" s="270" t="s">
        <v>363</v>
      </c>
      <c r="B1614" s="271" t="s">
        <v>395</v>
      </c>
      <c r="C1614" s="271"/>
      <c r="D1614" s="271"/>
      <c r="E1614" s="271"/>
      <c r="F1614" s="272"/>
      <c r="G1614" s="273">
        <v>421999</v>
      </c>
      <c r="H1614" s="274">
        <v>10000</v>
      </c>
      <c r="I1614" s="275"/>
      <c r="J1614" s="274"/>
    </row>
    <row r="1615" spans="1:10" s="259" customFormat="1" ht="24" x14ac:dyDescent="0.55000000000000004">
      <c r="A1615" s="270" t="s">
        <v>365</v>
      </c>
      <c r="B1615" s="271" t="s">
        <v>505</v>
      </c>
      <c r="C1615" s="271"/>
      <c r="D1615" s="271"/>
      <c r="E1615" s="271"/>
      <c r="F1615" s="272"/>
      <c r="G1615" s="273"/>
      <c r="H1615" s="268">
        <v>500000</v>
      </c>
      <c r="I1615" s="269">
        <f>767.81+34450.16+35453.95+35689.62+28991.29+36343.08+35090.2</f>
        <v>206786.11000000004</v>
      </c>
      <c r="J1615" s="268">
        <v>35090.199999999997</v>
      </c>
    </row>
    <row r="1616" spans="1:10" s="289" customFormat="1" ht="24" x14ac:dyDescent="0.55000000000000004">
      <c r="A1616" s="297"/>
      <c r="B1616" s="271"/>
      <c r="C1616" s="271"/>
      <c r="D1616" s="271"/>
      <c r="E1616" s="861" t="s">
        <v>151</v>
      </c>
      <c r="F1616" s="862"/>
      <c r="G1616" s="298"/>
      <c r="H1616" s="299">
        <f>SUM(H1605:H1615)</f>
        <v>11890000</v>
      </c>
      <c r="I1616" s="300">
        <f>SUM(I1605:I1615)</f>
        <v>10342099.159999998</v>
      </c>
      <c r="J1616" s="299">
        <f>SUM(J1605:J1615)</f>
        <v>1625892.3199999998</v>
      </c>
    </row>
    <row r="1617" spans="1:10" s="289" customFormat="1" ht="24" x14ac:dyDescent="0.55000000000000004">
      <c r="A1617" s="305"/>
      <c r="B1617" s="306"/>
      <c r="C1617" s="306"/>
      <c r="D1617" s="306"/>
      <c r="E1617" s="847"/>
      <c r="F1617" s="848"/>
      <c r="G1617" s="307"/>
      <c r="H1617" s="299"/>
      <c r="I1617" s="299"/>
      <c r="J1617" s="299"/>
    </row>
    <row r="1619" spans="1:10" s="289" customFormat="1" ht="24" x14ac:dyDescent="0.55000000000000004">
      <c r="A1619" s="849"/>
      <c r="B1619" s="849"/>
      <c r="C1619" s="849"/>
      <c r="D1619" s="849"/>
      <c r="G1619" s="265"/>
      <c r="H1619" s="258"/>
      <c r="I1619" s="258"/>
      <c r="J1619" s="258"/>
    </row>
    <row r="1620" spans="1:10" s="289" customFormat="1" ht="24" x14ac:dyDescent="0.55000000000000004">
      <c r="A1620" s="584"/>
      <c r="B1620" s="584"/>
      <c r="C1620" s="584"/>
      <c r="D1620" s="584"/>
      <c r="H1620" s="258"/>
      <c r="I1620" s="258"/>
      <c r="J1620" s="258"/>
    </row>
    <row r="1621" spans="1:10" s="289" customFormat="1" ht="24" x14ac:dyDescent="0.55000000000000004">
      <c r="A1621" s="584"/>
      <c r="B1621" s="584"/>
      <c r="C1621" s="584"/>
      <c r="D1621" s="584"/>
      <c r="H1621" s="258"/>
      <c r="I1621" s="258"/>
      <c r="J1621" s="258"/>
    </row>
    <row r="1622" spans="1:10" s="289" customFormat="1" ht="24" x14ac:dyDescent="0.55000000000000004">
      <c r="A1622" s="584"/>
      <c r="B1622" s="584"/>
      <c r="C1622" s="584"/>
      <c r="D1622" s="584"/>
      <c r="H1622" s="258"/>
      <c r="I1622" s="258"/>
      <c r="J1622" s="258"/>
    </row>
    <row r="1623" spans="1:10" s="289" customFormat="1" ht="24" x14ac:dyDescent="0.55000000000000004">
      <c r="A1623" s="584"/>
      <c r="B1623" s="584"/>
      <c r="C1623" s="584"/>
      <c r="D1623" s="584"/>
      <c r="H1623" s="258"/>
      <c r="I1623" s="258"/>
      <c r="J1623" s="258"/>
    </row>
    <row r="1624" spans="1:10" s="289" customFormat="1" ht="24" x14ac:dyDescent="0.55000000000000004">
      <c r="A1624" s="584"/>
      <c r="B1624" s="584"/>
      <c r="C1624" s="584"/>
      <c r="D1624" s="584"/>
      <c r="H1624" s="258"/>
      <c r="I1624" s="258"/>
      <c r="J1624" s="258"/>
    </row>
    <row r="1625" spans="1:10" s="289" customFormat="1" ht="24" x14ac:dyDescent="0.55000000000000004">
      <c r="A1625" s="584"/>
      <c r="B1625" s="584"/>
      <c r="C1625" s="584"/>
      <c r="D1625" s="584"/>
      <c r="F1625" s="584" t="s">
        <v>491</v>
      </c>
      <c r="H1625" s="258"/>
      <c r="I1625" s="258"/>
      <c r="J1625" s="258"/>
    </row>
    <row r="1626" spans="1:10" s="289" customFormat="1" ht="24" x14ac:dyDescent="0.55000000000000004">
      <c r="A1626" s="584"/>
      <c r="B1626" s="584"/>
      <c r="C1626" s="584"/>
      <c r="D1626" s="584"/>
      <c r="F1626" s="584"/>
      <c r="H1626" s="258"/>
      <c r="I1626" s="258"/>
      <c r="J1626" s="258"/>
    </row>
    <row r="1627" spans="1:10" s="289" customFormat="1" ht="24" x14ac:dyDescent="0.55000000000000004">
      <c r="A1627" s="850"/>
      <c r="B1627" s="851"/>
      <c r="C1627" s="851"/>
      <c r="D1627" s="851"/>
      <c r="E1627" s="851"/>
      <c r="F1627" s="852"/>
      <c r="G1627" s="411" t="s">
        <v>78</v>
      </c>
      <c r="H1627" s="411" t="s">
        <v>6</v>
      </c>
      <c r="I1627" s="261" t="s">
        <v>335</v>
      </c>
      <c r="J1627" s="412" t="s">
        <v>336</v>
      </c>
    </row>
    <row r="1628" spans="1:10" s="289" customFormat="1" ht="24" x14ac:dyDescent="0.55000000000000004">
      <c r="A1628" s="301" t="s">
        <v>396</v>
      </c>
      <c r="B1628" s="302"/>
      <c r="C1628" s="271"/>
      <c r="D1628" s="271"/>
      <c r="E1628" s="271"/>
      <c r="F1628" s="272"/>
      <c r="G1628" s="298"/>
      <c r="H1628" s="268"/>
      <c r="I1628" s="269"/>
      <c r="J1628" s="268"/>
    </row>
    <row r="1629" spans="1:10" s="289" customFormat="1" ht="24" x14ac:dyDescent="0.55000000000000004">
      <c r="A1629" s="270" t="s">
        <v>339</v>
      </c>
      <c r="B1629" s="271" t="s">
        <v>469</v>
      </c>
      <c r="C1629" s="271"/>
      <c r="D1629" s="271"/>
      <c r="E1629" s="271"/>
      <c r="F1629" s="272"/>
      <c r="G1629" s="273">
        <v>431002</v>
      </c>
      <c r="H1629" s="274">
        <v>4750000</v>
      </c>
      <c r="I1629" s="275">
        <f>976141+976141</f>
        <v>1952282</v>
      </c>
      <c r="J1629" s="274"/>
    </row>
    <row r="1630" spans="1:10" s="289" customFormat="1" ht="24" x14ac:dyDescent="0.55000000000000004">
      <c r="A1630" s="397"/>
      <c r="B1630" s="271" t="s">
        <v>470</v>
      </c>
      <c r="C1630" s="271"/>
      <c r="D1630" s="271"/>
      <c r="E1630" s="392"/>
      <c r="F1630" s="398"/>
      <c r="G1630" s="298"/>
      <c r="H1630" s="402"/>
      <c r="I1630" s="402"/>
      <c r="J1630" s="402"/>
    </row>
    <row r="1631" spans="1:10" s="289" customFormat="1" ht="24" x14ac:dyDescent="0.55000000000000004">
      <c r="A1631" s="397"/>
      <c r="B1631" s="271" t="s">
        <v>483</v>
      </c>
      <c r="C1631" s="271"/>
      <c r="D1631" s="392"/>
      <c r="E1631" s="392"/>
      <c r="F1631" s="398"/>
      <c r="G1631" s="298"/>
      <c r="H1631" s="402"/>
      <c r="I1631" s="407">
        <f>69514+158955+135460+100272</f>
        <v>464201</v>
      </c>
      <c r="J1631" s="407"/>
    </row>
    <row r="1632" spans="1:10" s="289" customFormat="1" ht="24" x14ac:dyDescent="0.55000000000000004">
      <c r="A1632" s="397"/>
      <c r="B1632" s="271" t="s">
        <v>481</v>
      </c>
      <c r="C1632" s="271"/>
      <c r="D1632" s="392"/>
      <c r="E1632" s="392"/>
      <c r="F1632" s="398"/>
      <c r="G1632" s="298"/>
      <c r="H1632" s="402"/>
      <c r="I1632" s="407">
        <f>244000+244000+316000+228360</f>
        <v>1032360</v>
      </c>
      <c r="J1632" s="407"/>
    </row>
    <row r="1633" spans="1:10" s="289" customFormat="1" ht="24" x14ac:dyDescent="0.55000000000000004">
      <c r="A1633" s="397"/>
      <c r="B1633" s="271" t="s">
        <v>487</v>
      </c>
      <c r="C1633" s="271"/>
      <c r="D1633" s="271"/>
      <c r="E1633" s="271"/>
      <c r="F1633" s="272"/>
      <c r="G1633" s="298"/>
      <c r="H1633" s="274"/>
      <c r="I1633" s="275">
        <v>8000</v>
      </c>
      <c r="J1633" s="274"/>
    </row>
    <row r="1634" spans="1:10" s="289" customFormat="1" ht="24" x14ac:dyDescent="0.55000000000000004">
      <c r="A1634" s="397"/>
      <c r="B1634" s="291" t="s">
        <v>486</v>
      </c>
      <c r="C1634" s="291"/>
      <c r="D1634" s="291"/>
      <c r="E1634" s="265"/>
      <c r="F1634" s="266"/>
      <c r="G1634" s="402"/>
      <c r="H1634" s="274"/>
      <c r="I1634" s="275">
        <f>52500+4658</f>
        <v>57158</v>
      </c>
      <c r="J1634" s="274"/>
    </row>
    <row r="1635" spans="1:10" s="289" customFormat="1" ht="24" x14ac:dyDescent="0.55000000000000004">
      <c r="A1635" s="397"/>
      <c r="B1635" s="271" t="s">
        <v>482</v>
      </c>
      <c r="C1635" s="271"/>
      <c r="D1635" s="271"/>
      <c r="E1635" s="392"/>
      <c r="F1635" s="398"/>
      <c r="G1635" s="402"/>
      <c r="H1635" s="274"/>
      <c r="I1635" s="275">
        <f>7500+7500+15000</f>
        <v>30000</v>
      </c>
      <c r="J1635" s="274"/>
    </row>
    <row r="1636" spans="1:10" s="289" customFormat="1" ht="24" x14ac:dyDescent="0.55000000000000004">
      <c r="A1636" s="397"/>
      <c r="B1636" s="392"/>
      <c r="C1636" s="392"/>
      <c r="D1636" s="392"/>
      <c r="E1636" s="392"/>
      <c r="F1636" s="398"/>
      <c r="G1636" s="402"/>
      <c r="H1636" s="274"/>
      <c r="I1636" s="275"/>
      <c r="J1636" s="274"/>
    </row>
    <row r="1637" spans="1:10" s="289" customFormat="1" ht="24" x14ac:dyDescent="0.55000000000000004">
      <c r="A1637" s="397"/>
      <c r="B1637" s="392"/>
      <c r="C1637" s="392"/>
      <c r="D1637" s="392"/>
      <c r="E1637" s="392"/>
      <c r="F1637" s="398"/>
      <c r="G1637" s="402"/>
      <c r="H1637" s="303"/>
      <c r="I1637" s="399"/>
      <c r="J1637" s="303"/>
    </row>
    <row r="1638" spans="1:10" s="289" customFormat="1" ht="24" x14ac:dyDescent="0.55000000000000004">
      <c r="A1638" s="305"/>
      <c r="B1638" s="306"/>
      <c r="C1638" s="306"/>
      <c r="D1638" s="306"/>
      <c r="E1638" s="847" t="s">
        <v>151</v>
      </c>
      <c r="F1638" s="848"/>
      <c r="G1638" s="307"/>
      <c r="H1638" s="299">
        <f>SUM(H1629)</f>
        <v>4750000</v>
      </c>
      <c r="I1638" s="299">
        <f>SUM(I1629:I1637)</f>
        <v>3544001</v>
      </c>
      <c r="J1638" s="299">
        <f>SUM(J1629:J1637)</f>
        <v>0</v>
      </c>
    </row>
    <row r="1639" spans="1:10" s="289" customFormat="1" ht="28.5" customHeight="1" thickBot="1" x14ac:dyDescent="0.6">
      <c r="A1639" s="464"/>
      <c r="B1639" s="461"/>
      <c r="C1639" s="461"/>
      <c r="D1639" s="461"/>
      <c r="E1639" s="462" t="s">
        <v>612</v>
      </c>
      <c r="F1639" s="463"/>
      <c r="G1639" s="463"/>
      <c r="H1639" s="309">
        <f>+H1556+H1580+H1591+H1595+H1599+H1603+H1616+H1638</f>
        <v>22000000</v>
      </c>
      <c r="I1639" s="309">
        <f>+I1556+I1580+I1591+I1595+I1599+I1603+I1616+I1638</f>
        <v>20444274.779999997</v>
      </c>
      <c r="J1639" s="309">
        <f>+J1556+J1580+J1591+J1595+J1599+J1603+J1616+J1638</f>
        <v>1863845.2999999998</v>
      </c>
    </row>
    <row r="1640" spans="1:10" ht="24.75" thickTop="1" x14ac:dyDescent="0.55000000000000004">
      <c r="A1640" s="111"/>
      <c r="G1640" s="402"/>
      <c r="H1640" s="274"/>
      <c r="I1640" s="275"/>
      <c r="J1640" s="274"/>
    </row>
    <row r="1641" spans="1:10" ht="24" x14ac:dyDescent="0.55000000000000004">
      <c r="A1641" s="405" t="s">
        <v>477</v>
      </c>
      <c r="B1641" s="406"/>
      <c r="C1641" s="291"/>
      <c r="D1641" s="291"/>
      <c r="E1641" s="291"/>
      <c r="F1641" s="292"/>
      <c r="G1641" s="402"/>
      <c r="H1641" s="268"/>
      <c r="I1641" s="269"/>
      <c r="J1641" s="268"/>
    </row>
    <row r="1642" spans="1:10" ht="24" x14ac:dyDescent="0.55000000000000004">
      <c r="A1642" s="270" t="s">
        <v>339</v>
      </c>
      <c r="B1642" s="271" t="s">
        <v>476</v>
      </c>
      <c r="C1642" s="271"/>
      <c r="D1642" s="271"/>
      <c r="E1642" s="271"/>
      <c r="F1642" s="272"/>
      <c r="G1642" s="273"/>
      <c r="H1642" s="274"/>
      <c r="I1642" s="275"/>
      <c r="J1642" s="274"/>
    </row>
    <row r="1643" spans="1:10" ht="24" x14ac:dyDescent="0.55000000000000004">
      <c r="A1643" s="270"/>
      <c r="B1643" s="271" t="s">
        <v>484</v>
      </c>
      <c r="C1643" s="271"/>
      <c r="D1643" s="271"/>
      <c r="E1643" s="271"/>
      <c r="F1643" s="272"/>
      <c r="G1643" s="273"/>
      <c r="H1643" s="274"/>
      <c r="I1643" s="275">
        <f>1011900+674600+331700+657800+1206300</f>
        <v>3882300</v>
      </c>
      <c r="J1643" s="274"/>
    </row>
    <row r="1644" spans="1:10" ht="24" x14ac:dyDescent="0.55000000000000004">
      <c r="A1644" s="270"/>
      <c r="B1644" s="271" t="s">
        <v>485</v>
      </c>
      <c r="C1644" s="271"/>
      <c r="D1644" s="271"/>
      <c r="E1644" s="271"/>
      <c r="F1644" s="272"/>
      <c r="G1644" s="273"/>
      <c r="H1644" s="274"/>
      <c r="I1644" s="531">
        <f>136800+136800+45600+45600+164800+10400</f>
        <v>540000</v>
      </c>
      <c r="J1644" s="274">
        <v>10400</v>
      </c>
    </row>
    <row r="1645" spans="1:10" ht="24" x14ac:dyDescent="0.55000000000000004">
      <c r="A1645" s="270"/>
      <c r="B1645" s="302" t="s">
        <v>488</v>
      </c>
      <c r="C1645" s="302"/>
      <c r="D1645" s="302"/>
      <c r="E1645" s="271"/>
      <c r="F1645" s="272"/>
      <c r="G1645" s="273"/>
      <c r="H1645" s="274"/>
      <c r="I1645" s="275"/>
      <c r="J1645" s="274"/>
    </row>
    <row r="1646" spans="1:10" ht="24" x14ac:dyDescent="0.55000000000000004">
      <c r="A1646" s="270"/>
      <c r="B1646" s="271" t="s">
        <v>478</v>
      </c>
      <c r="C1646" s="271"/>
      <c r="D1646" s="271"/>
      <c r="E1646" s="271"/>
      <c r="F1646" s="272"/>
      <c r="G1646" s="273"/>
      <c r="H1646" s="274"/>
      <c r="I1646" s="275">
        <f>50400+72000</f>
        <v>122400</v>
      </c>
      <c r="J1646" s="274"/>
    </row>
    <row r="1647" spans="1:10" ht="24" x14ac:dyDescent="0.55000000000000004">
      <c r="A1647" s="270"/>
      <c r="B1647" s="271" t="s">
        <v>479</v>
      </c>
      <c r="C1647" s="271"/>
      <c r="D1647" s="271"/>
      <c r="E1647" s="271"/>
      <c r="F1647" s="272"/>
      <c r="G1647" s="273"/>
      <c r="H1647" s="274"/>
      <c r="I1647" s="275">
        <f>118290+78860+17955+160150+80480</f>
        <v>455735</v>
      </c>
      <c r="J1647" s="274"/>
    </row>
    <row r="1648" spans="1:10" ht="24" x14ac:dyDescent="0.55000000000000004">
      <c r="A1648" s="270"/>
      <c r="B1648" s="271" t="s">
        <v>522</v>
      </c>
      <c r="C1648" s="271"/>
      <c r="D1648" s="271"/>
      <c r="E1648" s="271"/>
      <c r="F1648" s="272"/>
      <c r="G1648" s="273"/>
      <c r="H1648" s="274"/>
      <c r="I1648" s="275">
        <f>21800+68400+45600+91200+45600</f>
        <v>272600</v>
      </c>
      <c r="J1648" s="274"/>
    </row>
    <row r="1649" spans="1:10" ht="24" x14ac:dyDescent="0.55000000000000004">
      <c r="A1649" s="270"/>
      <c r="B1649" s="271" t="s">
        <v>521</v>
      </c>
      <c r="C1649" s="271"/>
      <c r="D1649" s="271"/>
      <c r="E1649" s="271"/>
      <c r="F1649" s="272"/>
      <c r="G1649" s="273"/>
      <c r="H1649" s="274"/>
      <c r="I1649" s="275">
        <f>1090+3420+2280+4560+2280</f>
        <v>13630</v>
      </c>
      <c r="J1649" s="274"/>
    </row>
    <row r="1650" spans="1:10" ht="24" x14ac:dyDescent="0.55000000000000004">
      <c r="A1650" s="270"/>
      <c r="B1650" s="271" t="s">
        <v>489</v>
      </c>
      <c r="C1650" s="271"/>
      <c r="D1650" s="271"/>
      <c r="E1650" s="271"/>
      <c r="F1650" s="272"/>
      <c r="G1650" s="273"/>
      <c r="H1650" s="274"/>
      <c r="I1650" s="275"/>
      <c r="J1650" s="274"/>
    </row>
    <row r="1651" spans="1:10" ht="24" x14ac:dyDescent="0.55000000000000004">
      <c r="A1651" s="270"/>
      <c r="B1651" s="271" t="s">
        <v>490</v>
      </c>
      <c r="C1651" s="271"/>
      <c r="D1651" s="271"/>
      <c r="E1651" s="271"/>
      <c r="F1651" s="272"/>
      <c r="G1651" s="273"/>
      <c r="H1651" s="274"/>
      <c r="I1651" s="275"/>
      <c r="J1651" s="274"/>
    </row>
    <row r="1652" spans="1:10" ht="24" x14ac:dyDescent="0.55000000000000004">
      <c r="A1652" s="270"/>
      <c r="B1652" s="271"/>
      <c r="C1652" s="271"/>
      <c r="D1652" s="271"/>
      <c r="E1652" s="271"/>
      <c r="F1652" s="272"/>
      <c r="G1652" s="273"/>
      <c r="H1652" s="274"/>
      <c r="I1652" s="275"/>
      <c r="J1652" s="274"/>
    </row>
    <row r="1653" spans="1:10" ht="24" x14ac:dyDescent="0.55000000000000004">
      <c r="A1653" s="270"/>
      <c r="B1653" s="271"/>
      <c r="C1653" s="271"/>
      <c r="D1653" s="271"/>
      <c r="E1653" s="271"/>
      <c r="F1653" s="272"/>
      <c r="G1653" s="273"/>
      <c r="H1653" s="274"/>
      <c r="I1653" s="275"/>
      <c r="J1653" s="274"/>
    </row>
    <row r="1654" spans="1:10" ht="24" x14ac:dyDescent="0.55000000000000004">
      <c r="A1654" s="305"/>
      <c r="B1654" s="306"/>
      <c r="C1654" s="306"/>
      <c r="D1654" s="306"/>
      <c r="E1654" s="847" t="s">
        <v>151</v>
      </c>
      <c r="F1654" s="848"/>
      <c r="G1654" s="307"/>
      <c r="H1654" s="299">
        <f>SUM(H1643:H1653)</f>
        <v>0</v>
      </c>
      <c r="I1654" s="299">
        <f>SUM(I1643:I1653)</f>
        <v>5286665</v>
      </c>
      <c r="J1654" s="299">
        <f>SUM(J1641:J1653)</f>
        <v>10400</v>
      </c>
    </row>
    <row r="1655" spans="1:10" ht="24.75" thickBot="1" x14ac:dyDescent="0.6">
      <c r="A1655" s="428"/>
      <c r="B1655" s="265"/>
      <c r="C1655" s="265"/>
      <c r="D1655" s="265"/>
      <c r="E1655" s="420" t="s">
        <v>506</v>
      </c>
      <c r="G1655" s="265"/>
      <c r="H1655" s="425">
        <f>SUM(H1654)</f>
        <v>0</v>
      </c>
      <c r="I1655" s="425">
        <f>SUM(I1654)</f>
        <v>5286665</v>
      </c>
      <c r="J1655" s="425">
        <f>SUM(J1654)</f>
        <v>10400</v>
      </c>
    </row>
    <row r="1656" spans="1:10" ht="24" x14ac:dyDescent="0.55000000000000004">
      <c r="A1656" s="421"/>
      <c r="B1656" s="422"/>
      <c r="C1656" s="422"/>
      <c r="D1656" s="422"/>
      <c r="E1656" s="423" t="s">
        <v>613</v>
      </c>
      <c r="F1656" s="161"/>
      <c r="G1656" s="424"/>
      <c r="H1656" s="426"/>
      <c r="I1656" s="426">
        <f>+I1655+I1639</f>
        <v>25730939.779999997</v>
      </c>
      <c r="J1656" s="427">
        <f>+J1655+J1639</f>
        <v>1874245.2999999998</v>
      </c>
    </row>
    <row r="1657" spans="1:10" s="289" customFormat="1" ht="24" x14ac:dyDescent="0.55000000000000004"/>
    <row r="1658" spans="1:10" s="312" customFormat="1" ht="24" x14ac:dyDescent="0.55000000000000004"/>
    <row r="1659" spans="1:10" s="312" customFormat="1" ht="24" x14ac:dyDescent="0.55000000000000004"/>
    <row r="1660" spans="1:10" s="312" customFormat="1" ht="24" x14ac:dyDescent="0.55000000000000004"/>
    <row r="1665" spans="1:10" s="289" customFormat="1" ht="24" x14ac:dyDescent="0.55000000000000004">
      <c r="A1665" s="584"/>
      <c r="B1665" s="584"/>
      <c r="C1665" s="584"/>
      <c r="D1665" s="584"/>
      <c r="F1665" s="584" t="s">
        <v>634</v>
      </c>
      <c r="H1665" s="258"/>
      <c r="I1665" s="258"/>
      <c r="J1665" s="258"/>
    </row>
    <row r="1669" spans="1:10" ht="23.25" customHeight="1" x14ac:dyDescent="0.55000000000000004">
      <c r="A1669" s="850"/>
      <c r="B1669" s="851"/>
      <c r="C1669" s="851"/>
      <c r="D1669" s="851"/>
      <c r="E1669" s="851"/>
      <c r="F1669" s="852"/>
      <c r="G1669" s="411" t="s">
        <v>78</v>
      </c>
      <c r="H1669" s="411" t="s">
        <v>6</v>
      </c>
      <c r="I1669" s="261" t="s">
        <v>335</v>
      </c>
      <c r="J1669" s="412" t="s">
        <v>336</v>
      </c>
    </row>
    <row r="1670" spans="1:10" ht="24" x14ac:dyDescent="0.55000000000000004">
      <c r="A1670" s="304" t="s">
        <v>630</v>
      </c>
      <c r="B1670" s="302"/>
      <c r="C1670" s="271"/>
      <c r="D1670" s="271"/>
      <c r="E1670" s="271"/>
      <c r="F1670" s="272"/>
      <c r="G1670" s="273"/>
      <c r="H1670" s="274"/>
      <c r="I1670" s="275"/>
      <c r="J1670" s="274"/>
    </row>
    <row r="1671" spans="1:10" ht="24" x14ac:dyDescent="0.55000000000000004">
      <c r="A1671" s="270"/>
      <c r="B1671" s="271" t="s">
        <v>633</v>
      </c>
      <c r="C1671" s="271"/>
      <c r="D1671" s="271"/>
      <c r="E1671" s="271"/>
      <c r="F1671" s="272"/>
      <c r="G1671" s="273"/>
      <c r="H1671" s="274"/>
      <c r="I1671" s="275">
        <v>4282000</v>
      </c>
      <c r="J1671" s="274"/>
    </row>
    <row r="1672" spans="1:10" ht="24" x14ac:dyDescent="0.55000000000000004">
      <c r="A1672" s="270"/>
      <c r="B1672" s="271" t="s">
        <v>631</v>
      </c>
      <c r="C1672" s="271"/>
      <c r="D1672" s="271"/>
      <c r="E1672" s="271"/>
      <c r="F1672" s="272"/>
      <c r="G1672" s="273"/>
      <c r="H1672" s="274"/>
      <c r="I1672" s="275">
        <f>2315425.64+1074600</f>
        <v>3390025.64</v>
      </c>
      <c r="J1672" s="274"/>
    </row>
    <row r="1673" spans="1:10" ht="24" x14ac:dyDescent="0.55000000000000004">
      <c r="A1673" s="270"/>
      <c r="B1673" s="271" t="s">
        <v>632</v>
      </c>
      <c r="C1673" s="271"/>
      <c r="D1673" s="271"/>
      <c r="E1673" s="271"/>
      <c r="F1673" s="272"/>
      <c r="G1673" s="273"/>
      <c r="H1673" s="274"/>
      <c r="I1673" s="275"/>
      <c r="J1673" s="274"/>
    </row>
    <row r="1674" spans="1:10" ht="24" x14ac:dyDescent="0.55000000000000004">
      <c r="A1674" s="270"/>
      <c r="B1674" s="271" t="s">
        <v>631</v>
      </c>
      <c r="C1674" s="271"/>
      <c r="D1674" s="271"/>
      <c r="E1674" s="271"/>
      <c r="F1674" s="272"/>
      <c r="G1674" s="273"/>
      <c r="H1674" s="274"/>
      <c r="I1674" s="275">
        <f>1061725.64+1253700</f>
        <v>2315425.6399999997</v>
      </c>
      <c r="J1674" s="274">
        <v>1253700</v>
      </c>
    </row>
    <row r="1675" spans="1:10" ht="24" x14ac:dyDescent="0.55000000000000004">
      <c r="A1675" s="270"/>
      <c r="B1675" s="271" t="s">
        <v>635</v>
      </c>
      <c r="C1675" s="271"/>
      <c r="D1675" s="271"/>
      <c r="E1675" s="271"/>
      <c r="F1675" s="272"/>
      <c r="G1675" s="273"/>
      <c r="H1675" s="274"/>
      <c r="I1675" s="275"/>
      <c r="J1675" s="274"/>
    </row>
    <row r="1676" spans="1:10" ht="24" x14ac:dyDescent="0.55000000000000004">
      <c r="A1676" s="270"/>
      <c r="B1676" s="271"/>
      <c r="C1676" s="271"/>
      <c r="D1676" s="271"/>
      <c r="E1676" s="271"/>
      <c r="F1676" s="272"/>
      <c r="G1676" s="273"/>
      <c r="H1676" s="274"/>
      <c r="I1676" s="275"/>
      <c r="J1676" s="274"/>
    </row>
    <row r="1677" spans="1:10" ht="24" x14ac:dyDescent="0.55000000000000004">
      <c r="A1677" s="270"/>
      <c r="B1677" s="271"/>
      <c r="C1677" s="271"/>
      <c r="D1677" s="271"/>
      <c r="E1677" s="271"/>
      <c r="F1677" s="272"/>
      <c r="G1677" s="273"/>
      <c r="H1677" s="274"/>
      <c r="I1677" s="275"/>
      <c r="J1677" s="274"/>
    </row>
    <row r="1678" spans="1:10" ht="24" x14ac:dyDescent="0.55000000000000004">
      <c r="A1678" s="270"/>
      <c r="B1678" s="271"/>
      <c r="C1678" s="271"/>
      <c r="D1678" s="271"/>
      <c r="E1678" s="271"/>
      <c r="F1678" s="272"/>
      <c r="G1678" s="273"/>
      <c r="H1678" s="274"/>
      <c r="I1678" s="275"/>
      <c r="J1678" s="274"/>
    </row>
    <row r="1679" spans="1:10" ht="24" x14ac:dyDescent="0.55000000000000004">
      <c r="A1679" s="270"/>
      <c r="B1679" s="271"/>
      <c r="C1679" s="271"/>
      <c r="D1679" s="271"/>
      <c r="E1679" s="271"/>
      <c r="F1679" s="272"/>
      <c r="G1679" s="273"/>
      <c r="H1679" s="274"/>
      <c r="I1679" s="275"/>
      <c r="J1679" s="274"/>
    </row>
    <row r="1680" spans="1:10" ht="24" x14ac:dyDescent="0.55000000000000004">
      <c r="A1680" s="270"/>
      <c r="B1680" s="271"/>
      <c r="C1680" s="271"/>
      <c r="D1680" s="271"/>
      <c r="E1680" s="271"/>
      <c r="F1680" s="272"/>
      <c r="G1680" s="273"/>
      <c r="H1680" s="274"/>
      <c r="I1680" s="275"/>
      <c r="J1680" s="274"/>
    </row>
    <row r="1681" spans="1:10" ht="24" x14ac:dyDescent="0.55000000000000004">
      <c r="A1681" s="270"/>
      <c r="B1681" s="271"/>
      <c r="C1681" s="271"/>
      <c r="D1681" s="271"/>
      <c r="E1681" s="271"/>
      <c r="F1681" s="272"/>
      <c r="G1681" s="273"/>
      <c r="H1681" s="274"/>
      <c r="I1681" s="275"/>
      <c r="J1681" s="274"/>
    </row>
    <row r="1682" spans="1:10" ht="24" customHeight="1" x14ac:dyDescent="0.55000000000000004">
      <c r="A1682" s="305"/>
      <c r="B1682" s="306"/>
      <c r="C1682" s="306"/>
      <c r="D1682" s="306"/>
      <c r="E1682" s="847" t="s">
        <v>151</v>
      </c>
      <c r="F1682" s="848"/>
      <c r="G1682" s="307"/>
      <c r="H1682" s="299">
        <f>SUM(H1672:H1681)</f>
        <v>0</v>
      </c>
      <c r="I1682" s="299">
        <f>SUM(I1671:I1681)</f>
        <v>9987451.2800000012</v>
      </c>
      <c r="J1682" s="299">
        <f>SUM(J1670:J1681)</f>
        <v>1253700</v>
      </c>
    </row>
    <row r="1683" spans="1:10" ht="27" customHeight="1" x14ac:dyDescent="0.55000000000000004">
      <c r="A1683" s="421"/>
      <c r="B1683" s="422"/>
      <c r="C1683" s="422"/>
      <c r="D1683" s="422"/>
      <c r="E1683" s="423" t="s">
        <v>613</v>
      </c>
      <c r="F1683" s="161"/>
      <c r="G1683" s="424"/>
      <c r="H1683" s="426"/>
      <c r="I1683" s="426">
        <f>+I1656+I1682</f>
        <v>35718391.060000002</v>
      </c>
      <c r="J1683" s="427">
        <f>+J1656+J1682</f>
        <v>3127945.3</v>
      </c>
    </row>
    <row r="1693" spans="1:10" ht="24" x14ac:dyDescent="0.55000000000000004">
      <c r="A1693" s="400" t="s">
        <v>471</v>
      </c>
      <c r="B1693" s="400"/>
      <c r="C1693" s="400"/>
      <c r="D1693" s="400"/>
      <c r="E1693" s="400"/>
      <c r="F1693" s="400" t="s">
        <v>626</v>
      </c>
      <c r="G1693" s="401"/>
      <c r="H1693" s="401"/>
      <c r="I1693" s="258" t="s">
        <v>474</v>
      </c>
      <c r="J1693" s="258"/>
    </row>
    <row r="1694" spans="1:10" ht="24" x14ac:dyDescent="0.55000000000000004">
      <c r="A1694" s="400" t="s">
        <v>472</v>
      </c>
      <c r="B1694" s="400"/>
      <c r="C1694" s="400"/>
      <c r="D1694" s="400"/>
      <c r="E1694" s="400"/>
      <c r="F1694" s="400" t="s">
        <v>510</v>
      </c>
      <c r="G1694" s="401"/>
      <c r="H1694" s="401"/>
      <c r="I1694" s="258" t="s">
        <v>473</v>
      </c>
      <c r="J1694" s="258"/>
    </row>
    <row r="1695" spans="1:10" ht="24" x14ac:dyDescent="0.55000000000000004">
      <c r="A1695" s="312"/>
      <c r="B1695" s="312"/>
      <c r="C1695" s="312"/>
      <c r="D1695" s="312"/>
      <c r="E1695" s="312"/>
      <c r="F1695" s="400" t="s">
        <v>475</v>
      </c>
      <c r="G1695" s="401"/>
      <c r="H1695" s="401"/>
      <c r="I1695" s="313"/>
      <c r="J1695" s="313"/>
    </row>
    <row r="1710" spans="1:10" s="259" customFormat="1" ht="24" x14ac:dyDescent="0.55000000000000004">
      <c r="A1710" s="853" t="s">
        <v>76</v>
      </c>
      <c r="B1710" s="853"/>
      <c r="C1710" s="853"/>
      <c r="D1710" s="853"/>
      <c r="E1710" s="853"/>
      <c r="F1710" s="853"/>
      <c r="G1710" s="853"/>
      <c r="H1710" s="853"/>
      <c r="I1710" s="853"/>
      <c r="J1710" s="853"/>
    </row>
    <row r="1711" spans="1:10" s="259" customFormat="1" ht="24" x14ac:dyDescent="0.55000000000000004">
      <c r="A1711" s="853" t="s">
        <v>334</v>
      </c>
      <c r="B1711" s="853"/>
      <c r="C1711" s="853"/>
      <c r="D1711" s="853"/>
      <c r="E1711" s="853"/>
      <c r="F1711" s="853"/>
      <c r="G1711" s="853"/>
      <c r="H1711" s="853"/>
      <c r="I1711" s="853"/>
      <c r="J1711" s="853"/>
    </row>
    <row r="1712" spans="1:10" s="259" customFormat="1" ht="24" x14ac:dyDescent="0.55000000000000004">
      <c r="A1712" s="854" t="s">
        <v>661</v>
      </c>
      <c r="B1712" s="854"/>
      <c r="C1712" s="854"/>
      <c r="D1712" s="854"/>
      <c r="E1712" s="854"/>
      <c r="F1712" s="854"/>
      <c r="G1712" s="854"/>
      <c r="H1712" s="854"/>
      <c r="I1712" s="854"/>
      <c r="J1712" s="854"/>
    </row>
    <row r="1713" spans="1:10" s="259" customFormat="1" ht="24" x14ac:dyDescent="0.55000000000000004">
      <c r="A1713" s="855"/>
      <c r="B1713" s="856"/>
      <c r="C1713" s="856"/>
      <c r="D1713" s="856"/>
      <c r="E1713" s="856"/>
      <c r="F1713" s="857"/>
      <c r="G1713" s="260" t="s">
        <v>78</v>
      </c>
      <c r="H1713" s="260" t="s">
        <v>6</v>
      </c>
      <c r="I1713" s="261" t="s">
        <v>335</v>
      </c>
      <c r="J1713" s="262" t="s">
        <v>336</v>
      </c>
    </row>
    <row r="1714" spans="1:10" s="259" customFormat="1" ht="24" x14ac:dyDescent="0.55000000000000004">
      <c r="A1714" s="263" t="s">
        <v>337</v>
      </c>
      <c r="B1714" s="264"/>
      <c r="C1714" s="265"/>
      <c r="D1714" s="265"/>
      <c r="E1714" s="265"/>
      <c r="F1714" s="266"/>
      <c r="G1714" s="267"/>
      <c r="H1714" s="268"/>
      <c r="I1714" s="269"/>
      <c r="J1714" s="268"/>
    </row>
    <row r="1715" spans="1:10" s="259" customFormat="1" ht="24" x14ac:dyDescent="0.55000000000000004">
      <c r="A1715" s="263" t="s">
        <v>338</v>
      </c>
      <c r="B1715" s="264"/>
      <c r="C1715" s="265"/>
      <c r="D1715" s="265"/>
      <c r="E1715" s="265"/>
      <c r="F1715" s="266"/>
      <c r="G1715" s="267"/>
      <c r="H1715" s="268"/>
      <c r="I1715" s="269"/>
      <c r="J1715" s="268"/>
    </row>
    <row r="1716" spans="1:10" s="259" customFormat="1" ht="24" x14ac:dyDescent="0.55000000000000004">
      <c r="A1716" s="270" t="s">
        <v>339</v>
      </c>
      <c r="B1716" s="271" t="s">
        <v>340</v>
      </c>
      <c r="C1716" s="271"/>
      <c r="D1716" s="271"/>
      <c r="E1716" s="271"/>
      <c r="F1716" s="272"/>
      <c r="G1716" s="273">
        <v>411001</v>
      </c>
      <c r="H1716" s="274">
        <v>3900000</v>
      </c>
      <c r="I1716" s="275">
        <f>187018.1+4119328.13+9180+5575+18629.16+3127-38986.95</f>
        <v>4303870.4399999995</v>
      </c>
      <c r="J1716" s="274">
        <v>3127</v>
      </c>
    </row>
    <row r="1717" spans="1:10" s="259" customFormat="1" ht="24" x14ac:dyDescent="0.55000000000000004">
      <c r="A1717" s="270" t="s">
        <v>341</v>
      </c>
      <c r="B1717" s="271" t="s">
        <v>342</v>
      </c>
      <c r="C1717" s="271"/>
      <c r="D1717" s="271"/>
      <c r="E1717" s="271"/>
      <c r="F1717" s="272"/>
      <c r="G1717" s="273">
        <v>411002</v>
      </c>
      <c r="H1717" s="274">
        <v>50000</v>
      </c>
      <c r="I1717" s="275">
        <f>222.3+653.6+2296.15+2449.1+20855.35+16614.55+1774.6+682.1+1726.15+755.25+1824-57</f>
        <v>49796.15</v>
      </c>
      <c r="J1717" s="274">
        <v>1824</v>
      </c>
    </row>
    <row r="1718" spans="1:10" s="259" customFormat="1" ht="24" x14ac:dyDescent="0.55000000000000004">
      <c r="A1718" s="270" t="s">
        <v>343</v>
      </c>
      <c r="B1718" s="271" t="s">
        <v>344</v>
      </c>
      <c r="C1718" s="271"/>
      <c r="D1718" s="271"/>
      <c r="E1718" s="271"/>
      <c r="F1718" s="272"/>
      <c r="G1718" s="273">
        <v>411003</v>
      </c>
      <c r="H1718" s="274">
        <v>20000</v>
      </c>
      <c r="I1718" s="275">
        <f>2919+15360+800+456</f>
        <v>19535</v>
      </c>
      <c r="J1718" s="274">
        <v>456</v>
      </c>
    </row>
    <row r="1719" spans="1:10" s="259" customFormat="1" ht="24" x14ac:dyDescent="0.55000000000000004">
      <c r="A1719" s="270" t="s">
        <v>345</v>
      </c>
      <c r="B1719" s="271" t="s">
        <v>346</v>
      </c>
      <c r="C1719" s="271"/>
      <c r="D1719" s="271"/>
      <c r="E1719" s="271"/>
      <c r="F1719" s="272"/>
      <c r="G1719" s="273">
        <v>411004</v>
      </c>
      <c r="H1719" s="274">
        <v>0</v>
      </c>
      <c r="I1719" s="275">
        <v>0</v>
      </c>
      <c r="J1719" s="274"/>
    </row>
    <row r="1720" spans="1:10" s="259" customFormat="1" ht="24" x14ac:dyDescent="0.55000000000000004">
      <c r="A1720" s="270" t="s">
        <v>347</v>
      </c>
      <c r="B1720" s="271" t="s">
        <v>348</v>
      </c>
      <c r="C1720" s="271"/>
      <c r="D1720" s="271"/>
      <c r="E1720" s="271"/>
      <c r="F1720" s="272"/>
      <c r="G1720" s="273">
        <v>411005</v>
      </c>
      <c r="H1720" s="276">
        <v>100000</v>
      </c>
      <c r="I1720" s="277">
        <f>24629.02+645270.57+50322.79+48536.57</f>
        <v>768758.95</v>
      </c>
      <c r="J1720" s="276"/>
    </row>
    <row r="1721" spans="1:10" s="259" customFormat="1" ht="24" x14ac:dyDescent="0.55000000000000004">
      <c r="A1721" s="270"/>
      <c r="B1721" s="271"/>
      <c r="C1721" s="271"/>
      <c r="D1721" s="271"/>
      <c r="E1721" s="271"/>
      <c r="F1721" s="272"/>
      <c r="G1721" s="273"/>
      <c r="H1721" s="299">
        <f>SUM(H1716:H1720)</f>
        <v>4070000</v>
      </c>
      <c r="I1721" s="300">
        <f>SUM(I1716:I1720)</f>
        <v>5141960.54</v>
      </c>
      <c r="J1721" s="299">
        <f>SUM(J1716:J1720)</f>
        <v>5407</v>
      </c>
    </row>
    <row r="1722" spans="1:10" s="259" customFormat="1" ht="24" x14ac:dyDescent="0.55000000000000004">
      <c r="A1722" s="263" t="s">
        <v>349</v>
      </c>
      <c r="B1722" s="278"/>
      <c r="C1722" s="278"/>
      <c r="D1722" s="278"/>
      <c r="E1722" s="279"/>
      <c r="F1722" s="280"/>
      <c r="G1722" s="281"/>
      <c r="H1722" s="282"/>
      <c r="I1722" s="283"/>
      <c r="J1722" s="268"/>
    </row>
    <row r="1723" spans="1:10" s="259" customFormat="1" ht="24" x14ac:dyDescent="0.55000000000000004">
      <c r="A1723" s="270" t="s">
        <v>339</v>
      </c>
      <c r="B1723" s="271" t="s">
        <v>350</v>
      </c>
      <c r="C1723" s="284"/>
      <c r="D1723" s="284"/>
      <c r="E1723" s="284"/>
      <c r="F1723" s="285"/>
      <c r="G1723" s="286">
        <v>412103</v>
      </c>
      <c r="H1723" s="287">
        <v>500</v>
      </c>
      <c r="I1723" s="288">
        <f>77.6+19.4+38.8+155.2+252.2+213.4+213.4+19.4</f>
        <v>989.4</v>
      </c>
      <c r="J1723" s="274">
        <v>19.399999999999999</v>
      </c>
    </row>
    <row r="1724" spans="1:10" s="259" customFormat="1" ht="24" x14ac:dyDescent="0.55000000000000004">
      <c r="A1724" s="270" t="s">
        <v>341</v>
      </c>
      <c r="B1724" s="271" t="s">
        <v>351</v>
      </c>
      <c r="C1724" s="284"/>
      <c r="D1724" s="284"/>
      <c r="E1724" s="284"/>
      <c r="F1724" s="285"/>
      <c r="G1724" s="286">
        <v>412104</v>
      </c>
      <c r="H1724" s="287">
        <v>500</v>
      </c>
      <c r="I1724" s="288"/>
      <c r="J1724" s="274"/>
    </row>
    <row r="1725" spans="1:10" s="259" customFormat="1" ht="24" x14ac:dyDescent="0.55000000000000004">
      <c r="A1725" s="270" t="s">
        <v>343</v>
      </c>
      <c r="B1725" s="271" t="s">
        <v>352</v>
      </c>
      <c r="C1725" s="284"/>
      <c r="D1725" s="284"/>
      <c r="E1725" s="284"/>
      <c r="F1725" s="285"/>
      <c r="G1725" s="286">
        <v>4120106</v>
      </c>
      <c r="H1725" s="287">
        <v>20000</v>
      </c>
      <c r="I1725" s="288">
        <f>292+24+164+2398+65+136+181+3166+216+698</f>
        <v>7340</v>
      </c>
      <c r="J1725" s="274"/>
    </row>
    <row r="1726" spans="1:10" s="259" customFormat="1" ht="24" x14ac:dyDescent="0.55000000000000004">
      <c r="A1726" s="270" t="s">
        <v>345</v>
      </c>
      <c r="B1726" s="271" t="s">
        <v>456</v>
      </c>
      <c r="C1726" s="284"/>
      <c r="D1726" s="284"/>
      <c r="E1726" s="284"/>
      <c r="F1726" s="285"/>
      <c r="G1726" s="286"/>
      <c r="H1726" s="287">
        <v>500</v>
      </c>
      <c r="I1726" s="288"/>
      <c r="J1726" s="274"/>
    </row>
    <row r="1727" spans="1:10" s="259" customFormat="1" ht="24" x14ac:dyDescent="0.55000000000000004">
      <c r="A1727" s="270" t="s">
        <v>347</v>
      </c>
      <c r="B1727" s="271" t="s">
        <v>457</v>
      </c>
      <c r="C1727" s="284"/>
      <c r="D1727" s="284"/>
      <c r="E1727" s="284"/>
      <c r="F1727" s="285"/>
      <c r="G1727" s="286"/>
      <c r="H1727" s="287">
        <v>500</v>
      </c>
      <c r="I1727" s="288"/>
      <c r="J1727" s="274"/>
    </row>
    <row r="1728" spans="1:10" s="259" customFormat="1" ht="24" x14ac:dyDescent="0.55000000000000004">
      <c r="A1728" s="270"/>
      <c r="B1728" s="271" t="s">
        <v>458</v>
      </c>
      <c r="C1728" s="284"/>
      <c r="D1728" s="284"/>
      <c r="E1728" s="284"/>
      <c r="F1728" s="285"/>
      <c r="G1728" s="286"/>
      <c r="H1728" s="287"/>
      <c r="I1728" s="288"/>
      <c r="J1728" s="274"/>
    </row>
    <row r="1729" spans="1:11" s="259" customFormat="1" ht="24" x14ac:dyDescent="0.55000000000000004">
      <c r="A1729" s="270" t="s">
        <v>355</v>
      </c>
      <c r="B1729" s="271" t="s">
        <v>459</v>
      </c>
      <c r="C1729" s="284"/>
      <c r="D1729" s="284"/>
      <c r="E1729" s="284"/>
      <c r="F1729" s="285"/>
      <c r="G1729" s="286"/>
      <c r="H1729" s="287">
        <v>500</v>
      </c>
      <c r="I1729" s="288"/>
      <c r="J1729" s="274"/>
    </row>
    <row r="1730" spans="1:11" s="259" customFormat="1" ht="24" x14ac:dyDescent="0.55000000000000004">
      <c r="A1730" s="270"/>
      <c r="B1730" s="271" t="s">
        <v>460</v>
      </c>
      <c r="C1730" s="284"/>
      <c r="D1730" s="284"/>
      <c r="E1730" s="284"/>
      <c r="F1730" s="285"/>
      <c r="G1730" s="286"/>
      <c r="H1730" s="287"/>
      <c r="I1730" s="288"/>
      <c r="J1730" s="274"/>
    </row>
    <row r="1731" spans="1:11" s="289" customFormat="1" ht="24" x14ac:dyDescent="0.55000000000000004">
      <c r="A1731" s="290" t="s">
        <v>357</v>
      </c>
      <c r="B1731" s="271" t="s">
        <v>353</v>
      </c>
      <c r="C1731" s="271"/>
      <c r="D1731" s="271"/>
      <c r="E1731" s="271"/>
      <c r="F1731" s="272"/>
      <c r="G1731" s="286">
        <v>412128</v>
      </c>
      <c r="H1731" s="274">
        <v>1000</v>
      </c>
      <c r="I1731" s="275">
        <f>50+50+50+100+50+70+50+120+50</f>
        <v>590</v>
      </c>
      <c r="J1731" s="274">
        <v>50</v>
      </c>
    </row>
    <row r="1732" spans="1:11" s="289" customFormat="1" ht="24" x14ac:dyDescent="0.55000000000000004">
      <c r="A1732" s="290" t="s">
        <v>359</v>
      </c>
      <c r="B1732" s="271" t="s">
        <v>461</v>
      </c>
      <c r="C1732" s="271"/>
      <c r="D1732" s="271"/>
      <c r="E1732" s="271"/>
      <c r="F1732" s="272"/>
      <c r="G1732" s="286"/>
      <c r="H1732" s="274">
        <v>500</v>
      </c>
      <c r="I1732" s="275"/>
      <c r="J1732" s="274"/>
      <c r="K1732" s="289">
        <v>1</v>
      </c>
    </row>
    <row r="1733" spans="1:11" s="289" customFormat="1" ht="24" x14ac:dyDescent="0.55000000000000004">
      <c r="A1733" s="270" t="s">
        <v>361</v>
      </c>
      <c r="B1733" s="271" t="s">
        <v>354</v>
      </c>
      <c r="C1733" s="271"/>
      <c r="D1733" s="271"/>
      <c r="E1733" s="271"/>
      <c r="F1733" s="272"/>
      <c r="G1733" s="286">
        <v>412199</v>
      </c>
      <c r="H1733" s="274">
        <v>1500</v>
      </c>
      <c r="I1733" s="275">
        <f>200+10+10+20+20+10+900</f>
        <v>1170</v>
      </c>
      <c r="J1733" s="274"/>
    </row>
    <row r="1734" spans="1:11" s="289" customFormat="1" ht="24" x14ac:dyDescent="0.55000000000000004">
      <c r="A1734" s="270" t="s">
        <v>363</v>
      </c>
      <c r="B1734" s="271" t="s">
        <v>356</v>
      </c>
      <c r="C1734" s="271"/>
      <c r="D1734" s="271"/>
      <c r="E1734" s="271"/>
      <c r="F1734" s="272"/>
      <c r="G1734" s="286"/>
      <c r="H1734" s="274">
        <v>1500</v>
      </c>
      <c r="I1734" s="275">
        <f>200+650+200+450+400</f>
        <v>1900</v>
      </c>
      <c r="J1734" s="274"/>
    </row>
    <row r="1735" spans="1:11" s="289" customFormat="1" ht="24" x14ac:dyDescent="0.55000000000000004">
      <c r="A1735" s="270" t="s">
        <v>365</v>
      </c>
      <c r="B1735" s="271" t="s">
        <v>358</v>
      </c>
      <c r="C1735" s="271"/>
      <c r="D1735" s="271"/>
      <c r="E1735" s="271"/>
      <c r="F1735" s="272"/>
      <c r="G1735" s="286"/>
      <c r="H1735" s="274">
        <v>50000</v>
      </c>
      <c r="I1735" s="275">
        <v>84320</v>
      </c>
      <c r="J1735" s="274"/>
    </row>
    <row r="1736" spans="1:11" s="289" customFormat="1" ht="24" x14ac:dyDescent="0.55000000000000004">
      <c r="A1736" s="270" t="s">
        <v>367</v>
      </c>
      <c r="B1736" s="271" t="s">
        <v>360</v>
      </c>
      <c r="C1736" s="271"/>
      <c r="D1736" s="271"/>
      <c r="E1736" s="271"/>
      <c r="F1736" s="272"/>
      <c r="G1736" s="286">
        <v>412211</v>
      </c>
      <c r="H1736" s="274">
        <v>500</v>
      </c>
      <c r="I1736" s="275"/>
      <c r="J1736" s="274"/>
    </row>
    <row r="1737" spans="1:11" s="291" customFormat="1" ht="24" x14ac:dyDescent="0.55000000000000004">
      <c r="A1737" s="270" t="s">
        <v>369</v>
      </c>
      <c r="B1737" s="291" t="s">
        <v>362</v>
      </c>
      <c r="F1737" s="292"/>
      <c r="G1737" s="293">
        <v>412299</v>
      </c>
      <c r="H1737" s="294">
        <v>500</v>
      </c>
      <c r="I1737" s="295"/>
      <c r="J1737" s="294"/>
    </row>
    <row r="1738" spans="1:11" s="265" customFormat="1" ht="24" x14ac:dyDescent="0.55000000000000004">
      <c r="A1738" s="270" t="s">
        <v>371</v>
      </c>
      <c r="B1738" s="291" t="s">
        <v>462</v>
      </c>
      <c r="C1738" s="291"/>
      <c r="D1738" s="291"/>
      <c r="E1738" s="291"/>
      <c r="F1738" s="292"/>
      <c r="G1738" s="293"/>
      <c r="H1738" s="294">
        <v>500</v>
      </c>
      <c r="I1738" s="295"/>
      <c r="J1738" s="294"/>
    </row>
    <row r="1739" spans="1:11" s="289" customFormat="1" ht="24" x14ac:dyDescent="0.55000000000000004">
      <c r="A1739" s="270" t="s">
        <v>373</v>
      </c>
      <c r="B1739" s="291" t="s">
        <v>364</v>
      </c>
      <c r="C1739" s="291"/>
      <c r="D1739" s="291"/>
      <c r="E1739" s="291"/>
      <c r="F1739" s="292"/>
      <c r="G1739" s="296">
        <v>412303</v>
      </c>
      <c r="H1739" s="294">
        <v>500</v>
      </c>
      <c r="I1739" s="295">
        <v>100</v>
      </c>
      <c r="J1739" s="294"/>
    </row>
    <row r="1740" spans="1:11" s="289" customFormat="1" ht="24" x14ac:dyDescent="0.55000000000000004">
      <c r="A1740" s="270" t="s">
        <v>463</v>
      </c>
      <c r="B1740" s="271" t="s">
        <v>366</v>
      </c>
      <c r="C1740" s="271"/>
      <c r="D1740" s="271"/>
      <c r="E1740" s="271"/>
      <c r="F1740" s="272"/>
      <c r="G1740" s="273">
        <v>412304</v>
      </c>
      <c r="H1740" s="274">
        <v>500</v>
      </c>
      <c r="I1740" s="275"/>
      <c r="J1740" s="274"/>
    </row>
    <row r="1741" spans="1:11" s="289" customFormat="1" ht="24" x14ac:dyDescent="0.55000000000000004">
      <c r="A1741" s="270" t="s">
        <v>464</v>
      </c>
      <c r="B1741" s="271" t="s">
        <v>368</v>
      </c>
      <c r="C1741" s="271"/>
      <c r="D1741" s="271"/>
      <c r="E1741" s="271"/>
      <c r="F1741" s="272"/>
      <c r="G1741" s="273">
        <v>412305</v>
      </c>
      <c r="H1741" s="274">
        <v>500</v>
      </c>
      <c r="I1741" s="275"/>
      <c r="J1741" s="274"/>
    </row>
    <row r="1742" spans="1:11" s="289" customFormat="1" ht="24" x14ac:dyDescent="0.55000000000000004">
      <c r="A1742" s="270" t="s">
        <v>465</v>
      </c>
      <c r="B1742" s="271" t="s">
        <v>370</v>
      </c>
      <c r="C1742" s="271"/>
      <c r="D1742" s="271"/>
      <c r="E1742" s="271"/>
      <c r="F1742" s="272"/>
      <c r="G1742" s="273">
        <v>412306</v>
      </c>
      <c r="H1742" s="276">
        <v>500</v>
      </c>
      <c r="I1742" s="277"/>
      <c r="J1742" s="274"/>
    </row>
    <row r="1743" spans="1:11" s="289" customFormat="1" ht="24" x14ac:dyDescent="0.55000000000000004">
      <c r="A1743" s="270" t="s">
        <v>466</v>
      </c>
      <c r="B1743" s="271" t="s">
        <v>372</v>
      </c>
      <c r="C1743" s="271"/>
      <c r="D1743" s="271"/>
      <c r="E1743" s="271"/>
      <c r="F1743" s="272"/>
      <c r="G1743" s="273">
        <v>412307</v>
      </c>
      <c r="H1743" s="276">
        <v>2000</v>
      </c>
      <c r="I1743" s="277">
        <f>20+20+40+80+20+60+40+100+40+80</f>
        <v>500</v>
      </c>
      <c r="J1743" s="274"/>
    </row>
    <row r="1744" spans="1:11" s="289" customFormat="1" ht="24" x14ac:dyDescent="0.55000000000000004">
      <c r="A1744" s="270" t="s">
        <v>467</v>
      </c>
      <c r="B1744" s="271" t="s">
        <v>374</v>
      </c>
      <c r="C1744" s="271"/>
      <c r="D1744" s="271"/>
      <c r="E1744" s="271"/>
      <c r="F1744" s="272"/>
      <c r="G1744" s="273">
        <v>412399</v>
      </c>
      <c r="H1744" s="276">
        <v>500</v>
      </c>
      <c r="I1744" s="277">
        <f>70+30+20+500+500+10</f>
        <v>1130</v>
      </c>
      <c r="J1744" s="268"/>
    </row>
    <row r="1745" spans="1:10" s="289" customFormat="1" ht="24" x14ac:dyDescent="0.55000000000000004">
      <c r="A1745" s="305"/>
      <c r="B1745" s="306"/>
      <c r="C1745" s="306"/>
      <c r="D1745" s="306"/>
      <c r="E1745" s="847"/>
      <c r="F1745" s="848"/>
      <c r="G1745" s="396"/>
      <c r="H1745" s="299">
        <f>SUM(H1723:H1744)</f>
        <v>83000</v>
      </c>
      <c r="I1745" s="300">
        <f>SUM(I1723:I1744)</f>
        <v>98039.4</v>
      </c>
      <c r="J1745" s="299">
        <f>SUM(J1723:J1744)</f>
        <v>69.400000000000006</v>
      </c>
    </row>
    <row r="1750" spans="1:10" s="289" customFormat="1" ht="24" x14ac:dyDescent="0.55000000000000004">
      <c r="A1750" s="858" t="s">
        <v>455</v>
      </c>
      <c r="B1750" s="858"/>
      <c r="C1750" s="858"/>
      <c r="D1750" s="858"/>
      <c r="E1750" s="858"/>
      <c r="F1750" s="858"/>
      <c r="G1750" s="858"/>
      <c r="H1750" s="858"/>
      <c r="I1750" s="858"/>
      <c r="J1750" s="858"/>
    </row>
    <row r="1751" spans="1:10" s="289" customFormat="1" ht="24" x14ac:dyDescent="0.55000000000000004">
      <c r="A1751" s="395"/>
      <c r="B1751" s="395"/>
      <c r="C1751" s="395"/>
      <c r="D1751" s="395"/>
      <c r="E1751" s="395"/>
      <c r="F1751" s="395"/>
      <c r="G1751" s="395"/>
      <c r="H1751" s="395"/>
      <c r="I1751" s="395"/>
      <c r="J1751" s="395"/>
    </row>
    <row r="1752" spans="1:10" s="259" customFormat="1" ht="24" x14ac:dyDescent="0.55000000000000004">
      <c r="A1752" s="855"/>
      <c r="B1752" s="856"/>
      <c r="C1752" s="856"/>
      <c r="D1752" s="856"/>
      <c r="E1752" s="856"/>
      <c r="F1752" s="857"/>
      <c r="G1752" s="260" t="s">
        <v>78</v>
      </c>
      <c r="H1752" s="260" t="s">
        <v>6</v>
      </c>
      <c r="I1752" s="261" t="s">
        <v>335</v>
      </c>
      <c r="J1752" s="262" t="s">
        <v>336</v>
      </c>
    </row>
    <row r="1753" spans="1:10" s="289" customFormat="1" ht="24" x14ac:dyDescent="0.55000000000000004">
      <c r="A1753" s="301" t="s">
        <v>375</v>
      </c>
      <c r="B1753" s="302"/>
      <c r="C1753" s="302"/>
      <c r="D1753" s="271"/>
      <c r="E1753" s="271"/>
      <c r="F1753" s="272"/>
      <c r="G1753" s="298"/>
      <c r="H1753" s="268"/>
      <c r="I1753" s="269"/>
      <c r="J1753" s="268"/>
    </row>
    <row r="1754" spans="1:10" s="289" customFormat="1" ht="24" x14ac:dyDescent="0.55000000000000004">
      <c r="A1754" s="270" t="s">
        <v>339</v>
      </c>
      <c r="B1754" s="271" t="s">
        <v>376</v>
      </c>
      <c r="C1754" s="271"/>
      <c r="D1754" s="271"/>
      <c r="E1754" s="271"/>
      <c r="F1754" s="272"/>
      <c r="G1754" s="273">
        <v>413003</v>
      </c>
      <c r="H1754" s="276">
        <v>100000</v>
      </c>
      <c r="I1754" s="277">
        <f>33122.75+16284.37+24237.67+8594.29+13606.4</f>
        <v>95845.48000000001</v>
      </c>
      <c r="J1754" s="274">
        <f>8594.29+13606.4</f>
        <v>22200.690000000002</v>
      </c>
    </row>
    <row r="1755" spans="1:10" s="259" customFormat="1" ht="24" x14ac:dyDescent="0.55000000000000004">
      <c r="A1755" s="270" t="s">
        <v>341</v>
      </c>
      <c r="B1755" s="271" t="s">
        <v>377</v>
      </c>
      <c r="C1755" s="271"/>
      <c r="D1755" s="271"/>
      <c r="E1755" s="271"/>
      <c r="F1755" s="272"/>
      <c r="G1755" s="273">
        <v>413999</v>
      </c>
      <c r="H1755" s="276">
        <v>10000</v>
      </c>
      <c r="I1755" s="277">
        <v>0</v>
      </c>
      <c r="J1755" s="268">
        <v>0</v>
      </c>
    </row>
    <row r="1756" spans="1:10" s="259" customFormat="1" ht="24" x14ac:dyDescent="0.55000000000000004">
      <c r="A1756" s="270"/>
      <c r="B1756" s="271"/>
      <c r="C1756" s="271"/>
      <c r="D1756" s="271"/>
      <c r="E1756" s="271"/>
      <c r="F1756" s="272"/>
      <c r="G1756" s="273"/>
      <c r="H1756" s="299">
        <f>SUM(H1754:H1755)</f>
        <v>110000</v>
      </c>
      <c r="I1756" s="300">
        <f>SUM(I1754:I1755)</f>
        <v>95845.48000000001</v>
      </c>
      <c r="J1756" s="299">
        <f>SUM(J1754:J1755)</f>
        <v>22200.690000000002</v>
      </c>
    </row>
    <row r="1757" spans="1:10" s="289" customFormat="1" ht="24" x14ac:dyDescent="0.55000000000000004">
      <c r="A1757" s="301" t="s">
        <v>378</v>
      </c>
      <c r="B1757" s="302"/>
      <c r="C1757" s="302"/>
      <c r="D1757" s="302"/>
      <c r="E1757" s="302"/>
      <c r="F1757" s="272"/>
      <c r="G1757" s="298"/>
      <c r="H1757" s="268"/>
      <c r="I1757" s="269"/>
      <c r="J1757" s="268"/>
    </row>
    <row r="1758" spans="1:10" s="289" customFormat="1" ht="24" x14ac:dyDescent="0.55000000000000004">
      <c r="A1758" s="270"/>
      <c r="B1758" s="271" t="s">
        <v>21</v>
      </c>
      <c r="C1758" s="271"/>
      <c r="D1758" s="271"/>
      <c r="E1758" s="271"/>
      <c r="F1758" s="272"/>
      <c r="G1758" s="273">
        <v>414006</v>
      </c>
      <c r="H1758" s="274">
        <v>1000000</v>
      </c>
      <c r="I1758" s="275">
        <f>41213+40907+47749+76891+68560+118069+65793+43770+118003+21586+167914+73628</f>
        <v>884083</v>
      </c>
      <c r="J1758" s="274">
        <v>73628</v>
      </c>
    </row>
    <row r="1759" spans="1:10" s="289" customFormat="1" ht="24" x14ac:dyDescent="0.55000000000000004">
      <c r="A1759" s="270" t="s">
        <v>341</v>
      </c>
      <c r="B1759" s="271" t="s">
        <v>379</v>
      </c>
      <c r="C1759" s="271"/>
      <c r="D1759" s="271"/>
      <c r="E1759" s="271"/>
      <c r="F1759" s="272"/>
      <c r="G1759" s="273">
        <v>414999</v>
      </c>
      <c r="H1759" s="268">
        <v>5000</v>
      </c>
      <c r="I1759" s="269">
        <f>200+200+200+400+200+400+400+200+200+200+800</f>
        <v>3400</v>
      </c>
      <c r="J1759" s="303"/>
    </row>
    <row r="1760" spans="1:10" s="289" customFormat="1" ht="24" x14ac:dyDescent="0.55000000000000004">
      <c r="A1760" s="391"/>
      <c r="B1760" s="392"/>
      <c r="C1760" s="392"/>
      <c r="D1760" s="392"/>
      <c r="E1760" s="859" t="s">
        <v>151</v>
      </c>
      <c r="F1760" s="860"/>
      <c r="G1760" s="393"/>
      <c r="H1760" s="299">
        <f>SUM(H1758:H1759)</f>
        <v>1005000</v>
      </c>
      <c r="I1760" s="300">
        <f>SUM(I1758:I1759)</f>
        <v>887483</v>
      </c>
      <c r="J1760" s="299">
        <f>SUM(J1758:J1759)</f>
        <v>73628</v>
      </c>
    </row>
    <row r="1761" spans="1:10" s="289" customFormat="1" ht="24" x14ac:dyDescent="0.55000000000000004">
      <c r="A1761" s="301" t="s">
        <v>380</v>
      </c>
      <c r="B1761" s="302"/>
      <c r="C1761" s="302"/>
      <c r="D1761" s="271"/>
      <c r="E1761" s="271"/>
      <c r="F1761" s="272"/>
      <c r="G1761" s="298"/>
      <c r="H1761" s="268"/>
      <c r="I1761" s="269"/>
      <c r="J1761" s="268"/>
    </row>
    <row r="1762" spans="1:10" s="289" customFormat="1" ht="24" x14ac:dyDescent="0.55000000000000004">
      <c r="A1762" s="270" t="s">
        <v>339</v>
      </c>
      <c r="B1762" s="271" t="s">
        <v>381</v>
      </c>
      <c r="C1762" s="271"/>
      <c r="D1762" s="271"/>
      <c r="E1762" s="271"/>
      <c r="F1762" s="272"/>
      <c r="G1762" s="273">
        <v>415004</v>
      </c>
      <c r="H1762" s="274">
        <v>80000</v>
      </c>
      <c r="I1762" s="277">
        <f>3000+7200+1800+4500</f>
        <v>16500</v>
      </c>
      <c r="J1762" s="274"/>
    </row>
    <row r="1763" spans="1:10" s="289" customFormat="1" ht="24" x14ac:dyDescent="0.55000000000000004">
      <c r="A1763" s="270" t="s">
        <v>341</v>
      </c>
      <c r="B1763" s="271" t="s">
        <v>382</v>
      </c>
      <c r="C1763" s="271"/>
      <c r="D1763" s="271"/>
      <c r="E1763" s="271"/>
      <c r="F1763" s="272"/>
      <c r="G1763" s="273">
        <v>415999</v>
      </c>
      <c r="H1763" s="276">
        <v>10000</v>
      </c>
      <c r="I1763" s="277">
        <f>500+376417.34+5+10+10</f>
        <v>376942.34</v>
      </c>
      <c r="J1763" s="268"/>
    </row>
    <row r="1764" spans="1:10" s="289" customFormat="1" ht="24" x14ac:dyDescent="0.55000000000000004">
      <c r="A1764" s="270"/>
      <c r="B1764" s="271"/>
      <c r="C1764" s="271"/>
      <c r="D1764" s="271"/>
      <c r="E1764" s="271"/>
      <c r="F1764" s="272"/>
      <c r="G1764" s="273"/>
      <c r="H1764" s="299">
        <f>SUM(H1762:H1763)</f>
        <v>90000</v>
      </c>
      <c r="I1764" s="300">
        <f>SUM(I1762:I1763)</f>
        <v>393442.34</v>
      </c>
      <c r="J1764" s="299">
        <f>SUM(J1762:J1763)</f>
        <v>0</v>
      </c>
    </row>
    <row r="1765" spans="1:10" s="289" customFormat="1" ht="24" x14ac:dyDescent="0.55000000000000004">
      <c r="A1765" s="301" t="s">
        <v>383</v>
      </c>
      <c r="B1765" s="302"/>
      <c r="C1765" s="302"/>
      <c r="D1765" s="271"/>
      <c r="E1765" s="271"/>
      <c r="F1765" s="272"/>
      <c r="G1765" s="298"/>
      <c r="H1765" s="268"/>
      <c r="I1765" s="269"/>
      <c r="J1765" s="268"/>
    </row>
    <row r="1766" spans="1:10" s="289" customFormat="1" ht="24" x14ac:dyDescent="0.55000000000000004">
      <c r="A1766" s="270" t="s">
        <v>339</v>
      </c>
      <c r="B1766" s="271" t="s">
        <v>384</v>
      </c>
      <c r="C1766" s="271"/>
      <c r="D1766" s="271"/>
      <c r="E1766" s="271"/>
      <c r="F1766" s="272"/>
      <c r="G1766" s="273">
        <v>416001</v>
      </c>
      <c r="H1766" s="274">
        <v>2000</v>
      </c>
      <c r="I1766" s="277">
        <v>3665</v>
      </c>
      <c r="J1766" s="274">
        <v>0</v>
      </c>
    </row>
    <row r="1767" spans="1:10" s="289" customFormat="1" ht="24" x14ac:dyDescent="0.55000000000000004">
      <c r="A1767" s="270" t="s">
        <v>341</v>
      </c>
      <c r="B1767" s="271" t="s">
        <v>385</v>
      </c>
      <c r="C1767" s="271"/>
      <c r="D1767" s="271"/>
      <c r="E1767" s="271"/>
      <c r="F1767" s="272"/>
      <c r="G1767" s="273">
        <v>416999</v>
      </c>
      <c r="H1767" s="276">
        <v>0</v>
      </c>
      <c r="I1767" s="277">
        <v>0</v>
      </c>
      <c r="J1767" s="268">
        <v>0</v>
      </c>
    </row>
    <row r="1768" spans="1:10" s="289" customFormat="1" ht="24" x14ac:dyDescent="0.55000000000000004">
      <c r="A1768" s="270"/>
      <c r="B1768" s="271"/>
      <c r="C1768" s="271"/>
      <c r="D1768" s="271"/>
      <c r="E1768" s="271"/>
      <c r="F1768" s="272"/>
      <c r="G1768" s="273"/>
      <c r="H1768" s="299">
        <f>SUM(H1766:H1767)</f>
        <v>2000</v>
      </c>
      <c r="I1768" s="300">
        <f>SUM(I1766:I1767)</f>
        <v>3665</v>
      </c>
      <c r="J1768" s="299">
        <f>SUM(J1766:J1767)</f>
        <v>0</v>
      </c>
    </row>
    <row r="1769" spans="1:10" s="289" customFormat="1" ht="24" x14ac:dyDescent="0.55000000000000004">
      <c r="A1769" s="304" t="s">
        <v>386</v>
      </c>
      <c r="B1769" s="271"/>
      <c r="C1769" s="271"/>
      <c r="D1769" s="271"/>
      <c r="E1769" s="271"/>
      <c r="F1769" s="272"/>
      <c r="G1769" s="273"/>
      <c r="H1769" s="268"/>
      <c r="I1769" s="269"/>
      <c r="J1769" s="268"/>
    </row>
    <row r="1770" spans="1:10" s="259" customFormat="1" ht="24" x14ac:dyDescent="0.55000000000000004">
      <c r="A1770" s="270" t="s">
        <v>339</v>
      </c>
      <c r="B1770" s="271" t="s">
        <v>387</v>
      </c>
      <c r="C1770" s="271"/>
      <c r="D1770" s="271"/>
      <c r="E1770" s="271"/>
      <c r="F1770" s="272"/>
      <c r="G1770" s="273">
        <v>421002</v>
      </c>
      <c r="H1770" s="274">
        <v>7000000</v>
      </c>
      <c r="I1770" s="274">
        <f>576013.89+578421.62+586350.36+110502.39+605668.57+625606.99+622485.21+626432.16+541661.25+581816.39+1233293.3+6488.97</f>
        <v>6694741.0999999996</v>
      </c>
      <c r="J1770" s="274">
        <v>6488.97</v>
      </c>
    </row>
    <row r="1771" spans="1:10" s="259" customFormat="1" ht="24" x14ac:dyDescent="0.55000000000000004">
      <c r="A1771" s="270" t="s">
        <v>341</v>
      </c>
      <c r="B1771" s="271" t="s">
        <v>388</v>
      </c>
      <c r="C1771" s="271"/>
      <c r="D1771" s="271"/>
      <c r="E1771" s="271"/>
      <c r="F1771" s="272"/>
      <c r="G1771" s="273">
        <v>421004</v>
      </c>
      <c r="H1771" s="274">
        <v>1500000</v>
      </c>
      <c r="I1771" s="274">
        <f>113953.78+131505.43+128502.61+128239.4+124886.95+141721.59+115012.16+145485.38+122709.93+266873.04</f>
        <v>1418890.27</v>
      </c>
      <c r="J1771" s="274">
        <v>266873.03999999998</v>
      </c>
    </row>
    <row r="1772" spans="1:10" s="259" customFormat="1" ht="24" x14ac:dyDescent="0.55000000000000004">
      <c r="A1772" s="270" t="s">
        <v>343</v>
      </c>
      <c r="B1772" s="271" t="s">
        <v>389</v>
      </c>
      <c r="C1772" s="271"/>
      <c r="D1772" s="271"/>
      <c r="E1772" s="271"/>
      <c r="F1772" s="272"/>
      <c r="G1772" s="273">
        <v>421005</v>
      </c>
      <c r="H1772" s="274">
        <v>100000</v>
      </c>
      <c r="I1772" s="274">
        <f>2747.3+3451.03+11616.96+6332.98+5128.71+6834.08+3963.25+10316.19+5207.28</f>
        <v>55597.78</v>
      </c>
      <c r="J1772" s="274">
        <v>5207.28</v>
      </c>
    </row>
    <row r="1773" spans="1:10" s="259" customFormat="1" ht="24" x14ac:dyDescent="0.55000000000000004">
      <c r="A1773" s="270" t="s">
        <v>345</v>
      </c>
      <c r="B1773" s="271" t="s">
        <v>390</v>
      </c>
      <c r="C1773" s="271"/>
      <c r="D1773" s="271"/>
      <c r="E1773" s="271"/>
      <c r="F1773" s="272"/>
      <c r="G1773" s="273">
        <v>421006</v>
      </c>
      <c r="H1773" s="274">
        <v>700000</v>
      </c>
      <c r="I1773" s="274">
        <f>47274.97+53800.47+56240.22+68576.03+61149.91+92271.74+45739.07+62462.32+44653.72+99448.65</f>
        <v>631617.1</v>
      </c>
      <c r="J1773" s="274">
        <v>99448.65</v>
      </c>
    </row>
    <row r="1774" spans="1:10" s="259" customFormat="1" ht="24" x14ac:dyDescent="0.55000000000000004">
      <c r="A1774" s="270" t="s">
        <v>347</v>
      </c>
      <c r="B1774" s="271" t="s">
        <v>391</v>
      </c>
      <c r="C1774" s="271"/>
      <c r="D1774" s="271"/>
      <c r="E1774" s="271"/>
      <c r="F1774" s="272"/>
      <c r="G1774" s="273">
        <v>421007</v>
      </c>
      <c r="H1774" s="274">
        <v>1000000</v>
      </c>
      <c r="I1774" s="275">
        <f>102069.72+113369.21+155.2+106077+125885.21+147366.97+141805.55+118179.77-155.2-252.2-213.4-213.4+144177.71+126768.83+263110.22</f>
        <v>1388131.1900000002</v>
      </c>
      <c r="J1774" s="274">
        <v>263110.21999999997</v>
      </c>
    </row>
    <row r="1775" spans="1:10" s="259" customFormat="1" ht="24" x14ac:dyDescent="0.55000000000000004">
      <c r="A1775" s="270" t="s">
        <v>355</v>
      </c>
      <c r="B1775" s="271" t="s">
        <v>468</v>
      </c>
      <c r="C1775" s="271"/>
      <c r="D1775" s="271"/>
      <c r="E1775" s="271"/>
      <c r="F1775" s="272"/>
      <c r="G1775" s="273">
        <v>421011</v>
      </c>
      <c r="H1775" s="274">
        <v>10000</v>
      </c>
      <c r="I1775" s="275"/>
      <c r="J1775" s="274"/>
    </row>
    <row r="1776" spans="1:10" s="259" customFormat="1" ht="24" x14ac:dyDescent="0.55000000000000004">
      <c r="A1776" s="290" t="s">
        <v>357</v>
      </c>
      <c r="B1776" s="259" t="s">
        <v>392</v>
      </c>
      <c r="G1776" s="273">
        <v>421012</v>
      </c>
      <c r="H1776" s="274">
        <v>30000</v>
      </c>
      <c r="I1776" s="275">
        <f>4875.42+6721.19+14806.05</f>
        <v>26402.66</v>
      </c>
      <c r="J1776" s="274">
        <v>14806.05</v>
      </c>
    </row>
    <row r="1777" spans="1:10" s="259" customFormat="1" ht="24" x14ac:dyDescent="0.55000000000000004">
      <c r="A1777" s="290" t="s">
        <v>359</v>
      </c>
      <c r="B1777" s="271" t="s">
        <v>393</v>
      </c>
      <c r="C1777" s="271"/>
      <c r="D1777" s="271"/>
      <c r="E1777" s="271"/>
      <c r="F1777" s="272"/>
      <c r="G1777" s="273">
        <v>421013</v>
      </c>
      <c r="H1777" s="274">
        <v>40000</v>
      </c>
      <c r="I1777" s="275">
        <f>7014.11+6835.44+5210.71+4678.15</f>
        <v>23738.409999999996</v>
      </c>
      <c r="J1777" s="274"/>
    </row>
    <row r="1778" spans="1:10" s="259" customFormat="1" ht="24" x14ac:dyDescent="0.55000000000000004">
      <c r="A1778" s="270" t="s">
        <v>361</v>
      </c>
      <c r="B1778" s="271" t="s">
        <v>394</v>
      </c>
      <c r="C1778" s="271"/>
      <c r="D1778" s="271"/>
      <c r="E1778" s="271"/>
      <c r="F1778" s="272"/>
      <c r="G1778" s="273">
        <v>421015</v>
      </c>
      <c r="H1778" s="274">
        <v>1000000</v>
      </c>
      <c r="I1778" s="275">
        <f>110381.75+16924+53331+72684+14094+155752+80580+48382+60830</f>
        <v>612958.75</v>
      </c>
      <c r="J1778" s="274">
        <v>60830</v>
      </c>
    </row>
    <row r="1779" spans="1:10" s="259" customFormat="1" ht="24" x14ac:dyDescent="0.55000000000000004">
      <c r="A1779" s="270" t="s">
        <v>363</v>
      </c>
      <c r="B1779" s="271" t="s">
        <v>395</v>
      </c>
      <c r="C1779" s="271"/>
      <c r="D1779" s="271"/>
      <c r="E1779" s="271"/>
      <c r="F1779" s="272"/>
      <c r="G1779" s="273">
        <v>421999</v>
      </c>
      <c r="H1779" s="274">
        <v>10000</v>
      </c>
      <c r="I1779" s="275"/>
      <c r="J1779" s="274"/>
    </row>
    <row r="1780" spans="1:10" s="259" customFormat="1" ht="24" x14ac:dyDescent="0.55000000000000004">
      <c r="A1780" s="270" t="s">
        <v>365</v>
      </c>
      <c r="B1780" s="271" t="s">
        <v>505</v>
      </c>
      <c r="C1780" s="271"/>
      <c r="D1780" s="271"/>
      <c r="E1780" s="271"/>
      <c r="F1780" s="272"/>
      <c r="G1780" s="273"/>
      <c r="H1780" s="268">
        <v>500000</v>
      </c>
      <c r="I1780" s="269">
        <f>767.81+34450.16+35453.95+35689.62+28991.29+36343.08+35090.2+682650.87</f>
        <v>889436.98</v>
      </c>
      <c r="J1780" s="268">
        <v>682650.87</v>
      </c>
    </row>
    <row r="1781" spans="1:10" s="289" customFormat="1" ht="24" x14ac:dyDescent="0.55000000000000004">
      <c r="A1781" s="297"/>
      <c r="B1781" s="271"/>
      <c r="C1781" s="271"/>
      <c r="D1781" s="271"/>
      <c r="E1781" s="861" t="s">
        <v>151</v>
      </c>
      <c r="F1781" s="862"/>
      <c r="G1781" s="298"/>
      <c r="H1781" s="299">
        <f>SUM(H1770:H1780)</f>
        <v>11890000</v>
      </c>
      <c r="I1781" s="300">
        <f>SUM(I1770:I1780)</f>
        <v>11741514.24</v>
      </c>
      <c r="J1781" s="299">
        <f>SUM(J1770:J1780)</f>
        <v>1399415.08</v>
      </c>
    </row>
    <row r="1782" spans="1:10" s="289" customFormat="1" ht="24" x14ac:dyDescent="0.55000000000000004">
      <c r="A1782" s="305"/>
      <c r="B1782" s="306"/>
      <c r="C1782" s="306"/>
      <c r="D1782" s="306"/>
      <c r="E1782" s="847"/>
      <c r="F1782" s="848"/>
      <c r="G1782" s="307"/>
      <c r="H1782" s="299"/>
      <c r="I1782" s="299"/>
      <c r="J1782" s="299"/>
    </row>
    <row r="1784" spans="1:10" s="289" customFormat="1" ht="24" x14ac:dyDescent="0.55000000000000004">
      <c r="A1784" s="849"/>
      <c r="B1784" s="849"/>
      <c r="C1784" s="849"/>
      <c r="D1784" s="849"/>
      <c r="G1784" s="265"/>
      <c r="H1784" s="258"/>
      <c r="I1784" s="258"/>
      <c r="J1784" s="258"/>
    </row>
    <row r="1785" spans="1:10" s="289" customFormat="1" ht="24" x14ac:dyDescent="0.55000000000000004">
      <c r="A1785" s="594"/>
      <c r="B1785" s="594"/>
      <c r="C1785" s="594"/>
      <c r="D1785" s="594"/>
      <c r="H1785" s="258"/>
      <c r="I1785" s="258"/>
      <c r="J1785" s="258"/>
    </row>
    <row r="1786" spans="1:10" s="289" customFormat="1" ht="24" x14ac:dyDescent="0.55000000000000004">
      <c r="A1786" s="594"/>
      <c r="B1786" s="594"/>
      <c r="C1786" s="594"/>
      <c r="D1786" s="594"/>
      <c r="H1786" s="258"/>
      <c r="I1786" s="258"/>
      <c r="J1786" s="258"/>
    </row>
    <row r="1787" spans="1:10" s="289" customFormat="1" ht="24" x14ac:dyDescent="0.55000000000000004">
      <c r="A1787" s="594"/>
      <c r="B1787" s="594"/>
      <c r="C1787" s="594"/>
      <c r="D1787" s="594"/>
      <c r="H1787" s="258"/>
      <c r="I1787" s="258"/>
      <c r="J1787" s="258"/>
    </row>
    <row r="1788" spans="1:10" s="289" customFormat="1" ht="24" x14ac:dyDescent="0.55000000000000004">
      <c r="A1788" s="594"/>
      <c r="B1788" s="594"/>
      <c r="C1788" s="594"/>
      <c r="D1788" s="594"/>
      <c r="H1788" s="258"/>
      <c r="I1788" s="258"/>
      <c r="J1788" s="258"/>
    </row>
    <row r="1789" spans="1:10" s="289" customFormat="1" ht="24" x14ac:dyDescent="0.55000000000000004">
      <c r="A1789" s="594"/>
      <c r="B1789" s="594"/>
      <c r="C1789" s="594"/>
      <c r="D1789" s="594"/>
      <c r="H1789" s="258"/>
      <c r="I1789" s="258"/>
      <c r="J1789" s="258"/>
    </row>
    <row r="1790" spans="1:10" s="289" customFormat="1" ht="24" x14ac:dyDescent="0.55000000000000004">
      <c r="A1790" s="594"/>
      <c r="B1790" s="594"/>
      <c r="C1790" s="594"/>
      <c r="D1790" s="594"/>
      <c r="F1790" s="594" t="s">
        <v>491</v>
      </c>
      <c r="H1790" s="258"/>
      <c r="I1790" s="258"/>
      <c r="J1790" s="258"/>
    </row>
    <row r="1791" spans="1:10" s="289" customFormat="1" ht="24" x14ac:dyDescent="0.55000000000000004">
      <c r="A1791" s="594"/>
      <c r="B1791" s="594"/>
      <c r="C1791" s="594"/>
      <c r="D1791" s="594"/>
      <c r="F1791" s="594"/>
      <c r="H1791" s="258"/>
      <c r="I1791" s="258"/>
      <c r="J1791" s="258"/>
    </row>
    <row r="1792" spans="1:10" s="289" customFormat="1" ht="24" x14ac:dyDescent="0.55000000000000004">
      <c r="A1792" s="850"/>
      <c r="B1792" s="851"/>
      <c r="C1792" s="851"/>
      <c r="D1792" s="851"/>
      <c r="E1792" s="851"/>
      <c r="F1792" s="852"/>
      <c r="G1792" s="411" t="s">
        <v>78</v>
      </c>
      <c r="H1792" s="411" t="s">
        <v>6</v>
      </c>
      <c r="I1792" s="261" t="s">
        <v>335</v>
      </c>
      <c r="J1792" s="412" t="s">
        <v>336</v>
      </c>
    </row>
    <row r="1793" spans="1:10" s="289" customFormat="1" ht="24" x14ac:dyDescent="0.55000000000000004">
      <c r="A1793" s="301" t="s">
        <v>396</v>
      </c>
      <c r="B1793" s="302"/>
      <c r="C1793" s="271"/>
      <c r="D1793" s="271"/>
      <c r="E1793" s="271"/>
      <c r="F1793" s="272"/>
      <c r="G1793" s="298"/>
      <c r="H1793" s="268"/>
      <c r="I1793" s="269"/>
      <c r="J1793" s="268"/>
    </row>
    <row r="1794" spans="1:10" s="289" customFormat="1" ht="24" x14ac:dyDescent="0.55000000000000004">
      <c r="A1794" s="270" t="s">
        <v>339</v>
      </c>
      <c r="B1794" s="271" t="s">
        <v>469</v>
      </c>
      <c r="C1794" s="271"/>
      <c r="D1794" s="271"/>
      <c r="E1794" s="271"/>
      <c r="F1794" s="272"/>
      <c r="G1794" s="273">
        <v>431002</v>
      </c>
      <c r="H1794" s="274">
        <v>4750000</v>
      </c>
      <c r="I1794" s="275">
        <f>976141+976141</f>
        <v>1952282</v>
      </c>
      <c r="J1794" s="274"/>
    </row>
    <row r="1795" spans="1:10" s="289" customFormat="1" ht="24" x14ac:dyDescent="0.55000000000000004">
      <c r="A1795" s="397"/>
      <c r="B1795" s="271" t="s">
        <v>470</v>
      </c>
      <c r="C1795" s="271"/>
      <c r="D1795" s="271"/>
      <c r="E1795" s="392"/>
      <c r="F1795" s="398"/>
      <c r="G1795" s="298"/>
      <c r="H1795" s="402"/>
      <c r="I1795" s="402"/>
      <c r="J1795" s="402"/>
    </row>
    <row r="1796" spans="1:10" s="289" customFormat="1" ht="24" x14ac:dyDescent="0.55000000000000004">
      <c r="A1796" s="397"/>
      <c r="B1796" s="271" t="s">
        <v>483</v>
      </c>
      <c r="C1796" s="271"/>
      <c r="D1796" s="392"/>
      <c r="E1796" s="392"/>
      <c r="F1796" s="398"/>
      <c r="G1796" s="298"/>
      <c r="H1796" s="402"/>
      <c r="I1796" s="407">
        <f>69514+158955+135460+100272</f>
        <v>464201</v>
      </c>
      <c r="J1796" s="407"/>
    </row>
    <row r="1797" spans="1:10" s="289" customFormat="1" ht="24" x14ac:dyDescent="0.55000000000000004">
      <c r="A1797" s="397"/>
      <c r="B1797" s="271" t="s">
        <v>481</v>
      </c>
      <c r="C1797" s="271"/>
      <c r="D1797" s="392"/>
      <c r="E1797" s="392"/>
      <c r="F1797" s="398"/>
      <c r="G1797" s="298"/>
      <c r="H1797" s="402"/>
      <c r="I1797" s="407">
        <f>244000+244000+316000+228360</f>
        <v>1032360</v>
      </c>
      <c r="J1797" s="407"/>
    </row>
    <row r="1798" spans="1:10" s="289" customFormat="1" ht="24" x14ac:dyDescent="0.55000000000000004">
      <c r="A1798" s="397"/>
      <c r="B1798" s="271" t="s">
        <v>487</v>
      </c>
      <c r="C1798" s="271"/>
      <c r="D1798" s="271"/>
      <c r="E1798" s="271"/>
      <c r="F1798" s="272"/>
      <c r="G1798" s="298"/>
      <c r="H1798" s="274"/>
      <c r="I1798" s="275">
        <v>8000</v>
      </c>
      <c r="J1798" s="274"/>
    </row>
    <row r="1799" spans="1:10" s="289" customFormat="1" ht="24" x14ac:dyDescent="0.55000000000000004">
      <c r="A1799" s="397"/>
      <c r="B1799" s="291" t="s">
        <v>486</v>
      </c>
      <c r="C1799" s="291"/>
      <c r="D1799" s="291"/>
      <c r="E1799" s="265"/>
      <c r="F1799" s="266"/>
      <c r="G1799" s="402"/>
      <c r="H1799" s="274"/>
      <c r="I1799" s="275">
        <f>52500+4658</f>
        <v>57158</v>
      </c>
      <c r="J1799" s="274"/>
    </row>
    <row r="1800" spans="1:10" s="289" customFormat="1" ht="24" x14ac:dyDescent="0.55000000000000004">
      <c r="A1800" s="397"/>
      <c r="B1800" s="271" t="s">
        <v>482</v>
      </c>
      <c r="C1800" s="271"/>
      <c r="D1800" s="271"/>
      <c r="E1800" s="392"/>
      <c r="F1800" s="398"/>
      <c r="G1800" s="402"/>
      <c r="H1800" s="274"/>
      <c r="I1800" s="275">
        <f>7500+7500+15000</f>
        <v>30000</v>
      </c>
      <c r="J1800" s="274"/>
    </row>
    <row r="1801" spans="1:10" s="289" customFormat="1" ht="24" x14ac:dyDescent="0.55000000000000004">
      <c r="A1801" s="397"/>
      <c r="B1801" s="392"/>
      <c r="C1801" s="392"/>
      <c r="D1801" s="392"/>
      <c r="E1801" s="392"/>
      <c r="F1801" s="398"/>
      <c r="G1801" s="402"/>
      <c r="H1801" s="274"/>
      <c r="I1801" s="275"/>
      <c r="J1801" s="274"/>
    </row>
    <row r="1802" spans="1:10" s="289" customFormat="1" ht="24" x14ac:dyDescent="0.55000000000000004">
      <c r="A1802" s="397"/>
      <c r="B1802" s="392"/>
      <c r="C1802" s="392"/>
      <c r="D1802" s="392"/>
      <c r="E1802" s="392"/>
      <c r="F1802" s="398"/>
      <c r="G1802" s="402"/>
      <c r="H1802" s="303"/>
      <c r="I1802" s="399"/>
      <c r="J1802" s="303"/>
    </row>
    <row r="1803" spans="1:10" s="289" customFormat="1" ht="24" x14ac:dyDescent="0.55000000000000004">
      <c r="A1803" s="305"/>
      <c r="B1803" s="306"/>
      <c r="C1803" s="306"/>
      <c r="D1803" s="306"/>
      <c r="E1803" s="847" t="s">
        <v>151</v>
      </c>
      <c r="F1803" s="848"/>
      <c r="G1803" s="307"/>
      <c r="H1803" s="299">
        <f>SUM(H1794)</f>
        <v>4750000</v>
      </c>
      <c r="I1803" s="299">
        <f>SUM(I1794:I1802)</f>
        <v>3544001</v>
      </c>
      <c r="J1803" s="299">
        <f>SUM(J1794:J1802)</f>
        <v>0</v>
      </c>
    </row>
    <row r="1804" spans="1:10" s="289" customFormat="1" ht="28.5" customHeight="1" thickBot="1" x14ac:dyDescent="0.6">
      <c r="A1804" s="464"/>
      <c r="B1804" s="461"/>
      <c r="C1804" s="461"/>
      <c r="D1804" s="461"/>
      <c r="E1804" s="462" t="s">
        <v>612</v>
      </c>
      <c r="F1804" s="463"/>
      <c r="G1804" s="463"/>
      <c r="H1804" s="309">
        <f>+H1721+H1745+H1756+H1760+H1764+H1768+H1781+H1803</f>
        <v>22000000</v>
      </c>
      <c r="I1804" s="309">
        <f>+I1721+I1745+I1756+I1760+I1764+I1768+I1781+I1803</f>
        <v>21905951</v>
      </c>
      <c r="J1804" s="309">
        <f>+J1721+J1745+J1756+J1760+J1764+J1768+J1781+J1803</f>
        <v>1500720.1700000002</v>
      </c>
    </row>
    <row r="1805" spans="1:10" ht="24.75" thickTop="1" x14ac:dyDescent="0.55000000000000004">
      <c r="A1805" s="111"/>
      <c r="G1805" s="402"/>
      <c r="H1805" s="274"/>
      <c r="I1805" s="275"/>
      <c r="J1805" s="274"/>
    </row>
    <row r="1806" spans="1:10" ht="24" x14ac:dyDescent="0.55000000000000004">
      <c r="A1806" s="405" t="s">
        <v>477</v>
      </c>
      <c r="B1806" s="406"/>
      <c r="C1806" s="291"/>
      <c r="D1806" s="291"/>
      <c r="E1806" s="291"/>
      <c r="F1806" s="292"/>
      <c r="G1806" s="402"/>
      <c r="H1806" s="268"/>
      <c r="I1806" s="269"/>
      <c r="J1806" s="268"/>
    </row>
    <row r="1807" spans="1:10" ht="24" x14ac:dyDescent="0.55000000000000004">
      <c r="A1807" s="270" t="s">
        <v>339</v>
      </c>
      <c r="B1807" s="271" t="s">
        <v>476</v>
      </c>
      <c r="C1807" s="271"/>
      <c r="D1807" s="271"/>
      <c r="E1807" s="271"/>
      <c r="F1807" s="272"/>
      <c r="G1807" s="273"/>
      <c r="H1807" s="274"/>
      <c r="I1807" s="275"/>
      <c r="J1807" s="274"/>
    </row>
    <row r="1808" spans="1:10" ht="24" x14ac:dyDescent="0.55000000000000004">
      <c r="A1808" s="270"/>
      <c r="B1808" s="271" t="s">
        <v>484</v>
      </c>
      <c r="C1808" s="271"/>
      <c r="D1808" s="271"/>
      <c r="E1808" s="271"/>
      <c r="F1808" s="272"/>
      <c r="G1808" s="273"/>
      <c r="H1808" s="274"/>
      <c r="I1808" s="275">
        <f>1011900+674600+331700+657800+1206300+66500</f>
        <v>3948800</v>
      </c>
      <c r="J1808" s="274">
        <v>66500</v>
      </c>
    </row>
    <row r="1809" spans="1:10" ht="24" x14ac:dyDescent="0.55000000000000004">
      <c r="A1809" s="270"/>
      <c r="B1809" s="271" t="s">
        <v>485</v>
      </c>
      <c r="C1809" s="271"/>
      <c r="D1809" s="271"/>
      <c r="E1809" s="271"/>
      <c r="F1809" s="272"/>
      <c r="G1809" s="273"/>
      <c r="H1809" s="274"/>
      <c r="I1809" s="531">
        <f>136800+136800+45600+45600+164800+10400+6400</f>
        <v>546400</v>
      </c>
      <c r="J1809" s="274">
        <v>6400</v>
      </c>
    </row>
    <row r="1810" spans="1:10" ht="24" x14ac:dyDescent="0.55000000000000004">
      <c r="A1810" s="270"/>
      <c r="B1810" s="302" t="s">
        <v>488</v>
      </c>
      <c r="C1810" s="302"/>
      <c r="D1810" s="302"/>
      <c r="E1810" s="271"/>
      <c r="F1810" s="272"/>
      <c r="G1810" s="273"/>
      <c r="H1810" s="274"/>
      <c r="I1810" s="275"/>
      <c r="J1810" s="274"/>
    </row>
    <row r="1811" spans="1:10" ht="24" x14ac:dyDescent="0.55000000000000004">
      <c r="A1811" s="270"/>
      <c r="B1811" s="271" t="s">
        <v>478</v>
      </c>
      <c r="C1811" s="271"/>
      <c r="D1811" s="271"/>
      <c r="E1811" s="271"/>
      <c r="F1811" s="272"/>
      <c r="G1811" s="273"/>
      <c r="H1811" s="274"/>
      <c r="I1811" s="275">
        <f>50400+72000</f>
        <v>122400</v>
      </c>
      <c r="J1811" s="274"/>
    </row>
    <row r="1812" spans="1:10" ht="24" x14ac:dyDescent="0.55000000000000004">
      <c r="A1812" s="270"/>
      <c r="B1812" s="271" t="s">
        <v>479</v>
      </c>
      <c r="C1812" s="271"/>
      <c r="D1812" s="271"/>
      <c r="E1812" s="271"/>
      <c r="F1812" s="272"/>
      <c r="G1812" s="273"/>
      <c r="H1812" s="274"/>
      <c r="I1812" s="275">
        <f>118290+78860+17955+160150+80480+40240</f>
        <v>495975</v>
      </c>
      <c r="J1812" s="274">
        <v>40240</v>
      </c>
    </row>
    <row r="1813" spans="1:10" ht="24" x14ac:dyDescent="0.55000000000000004">
      <c r="A1813" s="270"/>
      <c r="B1813" s="271" t="s">
        <v>522</v>
      </c>
      <c r="C1813" s="271"/>
      <c r="D1813" s="271"/>
      <c r="E1813" s="271"/>
      <c r="F1813" s="272"/>
      <c r="G1813" s="273"/>
      <c r="H1813" s="274"/>
      <c r="I1813" s="275">
        <f>21800+68400+45600+91200+45600</f>
        <v>272600</v>
      </c>
      <c r="J1813" s="274"/>
    </row>
    <row r="1814" spans="1:10" ht="24" x14ac:dyDescent="0.55000000000000004">
      <c r="A1814" s="270"/>
      <c r="B1814" s="271" t="s">
        <v>521</v>
      </c>
      <c r="C1814" s="271"/>
      <c r="D1814" s="271"/>
      <c r="E1814" s="271"/>
      <c r="F1814" s="272"/>
      <c r="G1814" s="273"/>
      <c r="H1814" s="274"/>
      <c r="I1814" s="275">
        <f>1090+3420+2280+4560+2280</f>
        <v>13630</v>
      </c>
      <c r="J1814" s="274"/>
    </row>
    <row r="1815" spans="1:10" ht="24" x14ac:dyDescent="0.55000000000000004">
      <c r="A1815" s="270"/>
      <c r="B1815" s="271" t="s">
        <v>489</v>
      </c>
      <c r="C1815" s="271"/>
      <c r="D1815" s="271"/>
      <c r="E1815" s="271"/>
      <c r="F1815" s="272"/>
      <c r="G1815" s="273"/>
      <c r="H1815" s="274"/>
      <c r="I1815" s="275"/>
      <c r="J1815" s="274"/>
    </row>
    <row r="1816" spans="1:10" ht="24" x14ac:dyDescent="0.55000000000000004">
      <c r="A1816" s="270"/>
      <c r="B1816" s="271" t="s">
        <v>490</v>
      </c>
      <c r="C1816" s="271"/>
      <c r="D1816" s="271"/>
      <c r="E1816" s="271"/>
      <c r="F1816" s="272"/>
      <c r="G1816" s="273"/>
      <c r="H1816" s="274"/>
      <c r="I1816" s="275"/>
      <c r="J1816" s="274"/>
    </row>
    <row r="1817" spans="1:10" ht="24" x14ac:dyDescent="0.55000000000000004">
      <c r="A1817" s="270"/>
      <c r="B1817" s="271"/>
      <c r="C1817" s="271"/>
      <c r="D1817" s="271"/>
      <c r="E1817" s="271"/>
      <c r="F1817" s="272"/>
      <c r="G1817" s="273"/>
      <c r="H1817" s="274"/>
      <c r="I1817" s="275"/>
      <c r="J1817" s="274"/>
    </row>
    <row r="1818" spans="1:10" ht="24" x14ac:dyDescent="0.55000000000000004">
      <c r="A1818" s="270"/>
      <c r="B1818" s="271"/>
      <c r="C1818" s="271"/>
      <c r="D1818" s="271"/>
      <c r="E1818" s="271"/>
      <c r="F1818" s="272"/>
      <c r="G1818" s="273"/>
      <c r="H1818" s="274"/>
      <c r="I1818" s="275"/>
      <c r="J1818" s="274"/>
    </row>
    <row r="1819" spans="1:10" ht="24" x14ac:dyDescent="0.55000000000000004">
      <c r="A1819" s="305"/>
      <c r="B1819" s="306"/>
      <c r="C1819" s="306"/>
      <c r="D1819" s="306"/>
      <c r="E1819" s="847" t="s">
        <v>151</v>
      </c>
      <c r="F1819" s="848"/>
      <c r="G1819" s="307"/>
      <c r="H1819" s="299">
        <f>SUM(H1808:H1818)</f>
        <v>0</v>
      </c>
      <c r="I1819" s="299">
        <f>SUM(I1808:I1818)</f>
        <v>5399805</v>
      </c>
      <c r="J1819" s="299">
        <f>SUM(J1806:J1818)</f>
        <v>113140</v>
      </c>
    </row>
    <row r="1820" spans="1:10" ht="24.75" thickBot="1" x14ac:dyDescent="0.6">
      <c r="A1820" s="428"/>
      <c r="B1820" s="265"/>
      <c r="C1820" s="265"/>
      <c r="D1820" s="265"/>
      <c r="E1820" s="420" t="s">
        <v>506</v>
      </c>
      <c r="G1820" s="265"/>
      <c r="H1820" s="425">
        <f>SUM(H1819)</f>
        <v>0</v>
      </c>
      <c r="I1820" s="425">
        <f>SUM(I1819)</f>
        <v>5399805</v>
      </c>
      <c r="J1820" s="425">
        <f>SUM(J1819)</f>
        <v>113140</v>
      </c>
    </row>
    <row r="1821" spans="1:10" ht="24" x14ac:dyDescent="0.55000000000000004">
      <c r="A1821" s="421"/>
      <c r="B1821" s="422"/>
      <c r="C1821" s="422"/>
      <c r="D1821" s="422"/>
      <c r="E1821" s="423" t="s">
        <v>613</v>
      </c>
      <c r="F1821" s="161"/>
      <c r="G1821" s="424"/>
      <c r="H1821" s="426"/>
      <c r="I1821" s="426">
        <f>+I1820+I1804</f>
        <v>27305756</v>
      </c>
      <c r="J1821" s="427">
        <f>+J1820+J1804</f>
        <v>1613860.1700000002</v>
      </c>
    </row>
    <row r="1822" spans="1:10" s="289" customFormat="1" ht="24" x14ac:dyDescent="0.55000000000000004"/>
    <row r="1823" spans="1:10" s="312" customFormat="1" ht="24" x14ac:dyDescent="0.55000000000000004"/>
    <row r="1824" spans="1:10" s="312" customFormat="1" ht="24" x14ac:dyDescent="0.55000000000000004"/>
    <row r="1825" spans="1:10" s="312" customFormat="1" ht="24" x14ac:dyDescent="0.55000000000000004"/>
    <row r="1837" spans="1:10" s="289" customFormat="1" ht="24" x14ac:dyDescent="0.55000000000000004">
      <c r="A1837" s="594"/>
      <c r="B1837" s="594"/>
      <c r="C1837" s="594"/>
      <c r="D1837" s="594"/>
      <c r="F1837" s="594" t="s">
        <v>634</v>
      </c>
      <c r="H1837" s="258"/>
      <c r="I1837" s="258"/>
      <c r="J1837" s="258"/>
    </row>
    <row r="1841" spans="1:10" ht="23.25" customHeight="1" x14ac:dyDescent="0.55000000000000004">
      <c r="A1841" s="850"/>
      <c r="B1841" s="851"/>
      <c r="C1841" s="851"/>
      <c r="D1841" s="851"/>
      <c r="E1841" s="851"/>
      <c r="F1841" s="852"/>
      <c r="G1841" s="411" t="s">
        <v>78</v>
      </c>
      <c r="H1841" s="411" t="s">
        <v>6</v>
      </c>
      <c r="I1841" s="261" t="s">
        <v>335</v>
      </c>
      <c r="J1841" s="412" t="s">
        <v>336</v>
      </c>
    </row>
    <row r="1842" spans="1:10" ht="24" x14ac:dyDescent="0.55000000000000004">
      <c r="A1842" s="304" t="s">
        <v>630</v>
      </c>
      <c r="B1842" s="302"/>
      <c r="C1842" s="271"/>
      <c r="D1842" s="271"/>
      <c r="E1842" s="271"/>
      <c r="F1842" s="272"/>
      <c r="G1842" s="273"/>
      <c r="H1842" s="274"/>
      <c r="I1842" s="275"/>
      <c r="J1842" s="274"/>
    </row>
    <row r="1843" spans="1:10" ht="24" x14ac:dyDescent="0.55000000000000004">
      <c r="A1843" s="270"/>
      <c r="B1843" s="271" t="s">
        <v>666</v>
      </c>
      <c r="C1843" s="271"/>
      <c r="D1843" s="271"/>
      <c r="E1843" s="271"/>
      <c r="F1843" s="272"/>
      <c r="G1843" s="273"/>
      <c r="H1843" s="274"/>
      <c r="I1843" s="275">
        <v>4282000</v>
      </c>
      <c r="J1843" s="274"/>
    </row>
    <row r="1844" spans="1:10" ht="24" x14ac:dyDescent="0.55000000000000004">
      <c r="A1844" s="270"/>
      <c r="B1844" s="271" t="s">
        <v>631</v>
      </c>
      <c r="C1844" s="271"/>
      <c r="D1844" s="271"/>
      <c r="E1844" s="271"/>
      <c r="F1844" s="272"/>
      <c r="G1844" s="273"/>
      <c r="H1844" s="274"/>
      <c r="I1844" s="275">
        <f>2315425.64+1074600</f>
        <v>3390025.64</v>
      </c>
      <c r="J1844" s="274"/>
    </row>
    <row r="1845" spans="1:10" ht="24" x14ac:dyDescent="0.55000000000000004">
      <c r="A1845" s="270"/>
      <c r="B1845" s="271" t="s">
        <v>632</v>
      </c>
      <c r="C1845" s="271"/>
      <c r="D1845" s="271"/>
      <c r="E1845" s="271"/>
      <c r="F1845" s="272"/>
      <c r="G1845" s="273"/>
      <c r="H1845" s="274"/>
      <c r="I1845" s="275"/>
      <c r="J1845" s="274"/>
    </row>
    <row r="1846" spans="1:10" ht="24" x14ac:dyDescent="0.55000000000000004">
      <c r="A1846" s="270"/>
      <c r="B1846" s="271" t="s">
        <v>631</v>
      </c>
      <c r="C1846" s="271"/>
      <c r="D1846" s="271"/>
      <c r="E1846" s="271"/>
      <c r="F1846" s="272"/>
      <c r="G1846" s="273"/>
      <c r="H1846" s="274"/>
      <c r="I1846" s="275">
        <f>1061725.64+1253700</f>
        <v>2315425.6399999997</v>
      </c>
      <c r="J1846" s="274"/>
    </row>
    <row r="1847" spans="1:10" ht="24" x14ac:dyDescent="0.55000000000000004">
      <c r="A1847" s="270"/>
      <c r="B1847" s="271" t="s">
        <v>635</v>
      </c>
      <c r="C1847" s="271"/>
      <c r="D1847" s="271"/>
      <c r="E1847" s="271"/>
      <c r="F1847" s="272"/>
      <c r="G1847" s="273"/>
      <c r="H1847" s="274"/>
      <c r="I1847" s="275"/>
      <c r="J1847" s="274"/>
    </row>
    <row r="1848" spans="1:10" ht="24" x14ac:dyDescent="0.55000000000000004">
      <c r="A1848" s="270"/>
      <c r="B1848" s="271"/>
      <c r="C1848" s="271"/>
      <c r="D1848" s="271"/>
      <c r="E1848" s="271"/>
      <c r="F1848" s="272"/>
      <c r="G1848" s="273"/>
      <c r="H1848" s="274"/>
      <c r="I1848" s="275"/>
      <c r="J1848" s="274"/>
    </row>
    <row r="1849" spans="1:10" ht="24" x14ac:dyDescent="0.55000000000000004">
      <c r="A1849" s="270"/>
      <c r="B1849" s="271"/>
      <c r="C1849" s="271"/>
      <c r="D1849" s="271"/>
      <c r="E1849" s="271"/>
      <c r="F1849" s="272"/>
      <c r="G1849" s="273"/>
      <c r="H1849" s="274"/>
      <c r="I1849" s="275"/>
      <c r="J1849" s="274"/>
    </row>
    <row r="1850" spans="1:10" ht="24" x14ac:dyDescent="0.55000000000000004">
      <c r="A1850" s="270"/>
      <c r="B1850" s="271"/>
      <c r="C1850" s="271"/>
      <c r="D1850" s="271"/>
      <c r="E1850" s="271"/>
      <c r="F1850" s="272"/>
      <c r="G1850" s="273"/>
      <c r="H1850" s="274"/>
      <c r="I1850" s="275"/>
      <c r="J1850" s="274"/>
    </row>
    <row r="1851" spans="1:10" ht="24" x14ac:dyDescent="0.55000000000000004">
      <c r="A1851" s="270"/>
      <c r="B1851" s="271"/>
      <c r="C1851" s="271"/>
      <c r="D1851" s="271"/>
      <c r="E1851" s="271"/>
      <c r="F1851" s="272"/>
      <c r="G1851" s="273"/>
      <c r="H1851" s="274"/>
      <c r="I1851" s="275"/>
      <c r="J1851" s="274"/>
    </row>
    <row r="1852" spans="1:10" ht="24" x14ac:dyDescent="0.55000000000000004">
      <c r="A1852" s="270"/>
      <c r="B1852" s="271"/>
      <c r="C1852" s="271"/>
      <c r="D1852" s="271"/>
      <c r="E1852" s="271"/>
      <c r="F1852" s="272"/>
      <c r="G1852" s="273"/>
      <c r="H1852" s="274"/>
      <c r="I1852" s="275"/>
      <c r="J1852" s="274"/>
    </row>
    <row r="1853" spans="1:10" ht="24" x14ac:dyDescent="0.55000000000000004">
      <c r="A1853" s="270"/>
      <c r="B1853" s="271"/>
      <c r="C1853" s="271"/>
      <c r="D1853" s="271"/>
      <c r="E1853" s="271"/>
      <c r="F1853" s="272"/>
      <c r="G1853" s="273"/>
      <c r="H1853" s="274"/>
      <c r="I1853" s="275"/>
      <c r="J1853" s="274"/>
    </row>
    <row r="1854" spans="1:10" ht="24" customHeight="1" x14ac:dyDescent="0.55000000000000004">
      <c r="A1854" s="305"/>
      <c r="B1854" s="306"/>
      <c r="C1854" s="306"/>
      <c r="D1854" s="306"/>
      <c r="E1854" s="847" t="s">
        <v>151</v>
      </c>
      <c r="F1854" s="848"/>
      <c r="G1854" s="307"/>
      <c r="H1854" s="299">
        <f>SUM(H1844:H1853)</f>
        <v>0</v>
      </c>
      <c r="I1854" s="299">
        <f>SUM(I1843:I1853)</f>
        <v>9987451.2800000012</v>
      </c>
      <c r="J1854" s="299">
        <f>SUM(J1842:J1853)</f>
        <v>0</v>
      </c>
    </row>
    <row r="1855" spans="1:10" ht="27" customHeight="1" x14ac:dyDescent="0.55000000000000004">
      <c r="A1855" s="421"/>
      <c r="B1855" s="422"/>
      <c r="C1855" s="422"/>
      <c r="D1855" s="422"/>
      <c r="E1855" s="423" t="s">
        <v>613</v>
      </c>
      <c r="F1855" s="161"/>
      <c r="G1855" s="424"/>
      <c r="H1855" s="426"/>
      <c r="I1855" s="426">
        <f>+I1821+I1854</f>
        <v>37293207.280000001</v>
      </c>
      <c r="J1855" s="427">
        <f>+J1821+J1854</f>
        <v>1613860.1700000002</v>
      </c>
    </row>
    <row r="1865" spans="1:10" ht="24" x14ac:dyDescent="0.55000000000000004">
      <c r="A1865" s="400" t="s">
        <v>471</v>
      </c>
      <c r="B1865" s="400"/>
      <c r="C1865" s="400"/>
      <c r="D1865" s="400"/>
      <c r="E1865" s="400"/>
      <c r="F1865" s="400" t="s">
        <v>626</v>
      </c>
      <c r="G1865" s="401"/>
      <c r="H1865" s="401"/>
      <c r="I1865" s="258" t="s">
        <v>474</v>
      </c>
      <c r="J1865" s="258"/>
    </row>
    <row r="1866" spans="1:10" ht="24" x14ac:dyDescent="0.55000000000000004">
      <c r="A1866" s="400" t="s">
        <v>472</v>
      </c>
      <c r="B1866" s="400"/>
      <c r="C1866" s="400"/>
      <c r="D1866" s="400"/>
      <c r="E1866" s="400"/>
      <c r="F1866" s="400" t="s">
        <v>510</v>
      </c>
      <c r="G1866" s="401"/>
      <c r="H1866" s="401"/>
      <c r="I1866" s="258" t="s">
        <v>473</v>
      </c>
      <c r="J1866" s="258"/>
    </row>
    <row r="1867" spans="1:10" ht="24" x14ac:dyDescent="0.55000000000000004">
      <c r="A1867" s="312"/>
      <c r="B1867" s="312"/>
      <c r="C1867" s="312"/>
      <c r="D1867" s="312"/>
      <c r="E1867" s="312"/>
      <c r="F1867" s="400" t="s">
        <v>475</v>
      </c>
      <c r="G1867" s="401"/>
      <c r="H1867" s="401"/>
      <c r="I1867" s="313"/>
      <c r="J1867" s="313"/>
    </row>
    <row r="1926" spans="1:10" x14ac:dyDescent="0.2">
      <c r="D1926" t="s">
        <v>672</v>
      </c>
    </row>
    <row r="1932" spans="1:10" s="259" customFormat="1" ht="24" x14ac:dyDescent="0.55000000000000004">
      <c r="A1932" s="853" t="s">
        <v>76</v>
      </c>
      <c r="B1932" s="853"/>
      <c r="C1932" s="853"/>
      <c r="D1932" s="853"/>
      <c r="E1932" s="853"/>
      <c r="F1932" s="853"/>
      <c r="G1932" s="853"/>
      <c r="H1932" s="853"/>
      <c r="I1932" s="853"/>
      <c r="J1932" s="853"/>
    </row>
    <row r="1933" spans="1:10" s="259" customFormat="1" ht="24" x14ac:dyDescent="0.55000000000000004">
      <c r="A1933" s="853" t="s">
        <v>334</v>
      </c>
      <c r="B1933" s="853"/>
      <c r="C1933" s="853"/>
      <c r="D1933" s="853"/>
      <c r="E1933" s="853"/>
      <c r="F1933" s="853"/>
      <c r="G1933" s="853"/>
      <c r="H1933" s="853"/>
      <c r="I1933" s="853"/>
      <c r="J1933" s="853"/>
    </row>
    <row r="1934" spans="1:10" s="259" customFormat="1" ht="24" x14ac:dyDescent="0.55000000000000004">
      <c r="A1934" s="854" t="s">
        <v>661</v>
      </c>
      <c r="B1934" s="854"/>
      <c r="C1934" s="854"/>
      <c r="D1934" s="854"/>
      <c r="E1934" s="854"/>
      <c r="F1934" s="854"/>
      <c r="G1934" s="854"/>
      <c r="H1934" s="854"/>
      <c r="I1934" s="854"/>
      <c r="J1934" s="854"/>
    </row>
    <row r="1935" spans="1:10" s="259" customFormat="1" ht="24" x14ac:dyDescent="0.55000000000000004">
      <c r="A1935" s="855"/>
      <c r="B1935" s="856"/>
      <c r="C1935" s="856"/>
      <c r="D1935" s="856"/>
      <c r="E1935" s="856"/>
      <c r="F1935" s="857"/>
      <c r="G1935" s="260" t="s">
        <v>78</v>
      </c>
      <c r="H1935" s="260" t="s">
        <v>6</v>
      </c>
      <c r="I1935" s="261" t="s">
        <v>335</v>
      </c>
      <c r="J1935" s="262" t="s">
        <v>336</v>
      </c>
    </row>
    <row r="1936" spans="1:10" s="259" customFormat="1" ht="24" x14ac:dyDescent="0.55000000000000004">
      <c r="A1936" s="263" t="s">
        <v>337</v>
      </c>
      <c r="B1936" s="264"/>
      <c r="C1936" s="265"/>
      <c r="D1936" s="265"/>
      <c r="E1936" s="265"/>
      <c r="F1936" s="266"/>
      <c r="G1936" s="267"/>
      <c r="H1936" s="268"/>
      <c r="I1936" s="269"/>
      <c r="J1936" s="268"/>
    </row>
    <row r="1937" spans="1:10" s="259" customFormat="1" ht="24" x14ac:dyDescent="0.55000000000000004">
      <c r="A1937" s="263" t="s">
        <v>338</v>
      </c>
      <c r="B1937" s="264"/>
      <c r="C1937" s="265"/>
      <c r="D1937" s="265"/>
      <c r="E1937" s="265"/>
      <c r="F1937" s="266"/>
      <c r="G1937" s="267"/>
      <c r="H1937" s="268"/>
      <c r="I1937" s="269"/>
      <c r="J1937" s="268"/>
    </row>
    <row r="1938" spans="1:10" s="259" customFormat="1" ht="24" x14ac:dyDescent="0.55000000000000004">
      <c r="A1938" s="270" t="s">
        <v>339</v>
      </c>
      <c r="B1938" s="271" t="s">
        <v>340</v>
      </c>
      <c r="C1938" s="271"/>
      <c r="D1938" s="271"/>
      <c r="E1938" s="271"/>
      <c r="F1938" s="272"/>
      <c r="G1938" s="273">
        <v>411001</v>
      </c>
      <c r="H1938" s="274">
        <v>3900000</v>
      </c>
      <c r="I1938" s="275">
        <f>187018.1+4119328.13+9180+5575+18629.16+3127-38986.95</f>
        <v>4303870.4399999995</v>
      </c>
      <c r="J1938" s="274">
        <v>3127</v>
      </c>
    </row>
    <row r="1939" spans="1:10" s="259" customFormat="1" ht="24" x14ac:dyDescent="0.55000000000000004">
      <c r="A1939" s="270" t="s">
        <v>341</v>
      </c>
      <c r="B1939" s="271" t="s">
        <v>342</v>
      </c>
      <c r="C1939" s="271"/>
      <c r="D1939" s="271"/>
      <c r="E1939" s="271"/>
      <c r="F1939" s="272"/>
      <c r="G1939" s="273">
        <v>411002</v>
      </c>
      <c r="H1939" s="274">
        <v>50000</v>
      </c>
      <c r="I1939" s="275">
        <f>222.3+653.6+2296.15+2449.1+20855.35+16614.55+1774.6+682.1+1726.15+755.25+1824-57</f>
        <v>49796.15</v>
      </c>
      <c r="J1939" s="274">
        <v>1824</v>
      </c>
    </row>
    <row r="1940" spans="1:10" s="259" customFormat="1" ht="24" x14ac:dyDescent="0.55000000000000004">
      <c r="A1940" s="270" t="s">
        <v>343</v>
      </c>
      <c r="B1940" s="271" t="s">
        <v>344</v>
      </c>
      <c r="C1940" s="271"/>
      <c r="D1940" s="271"/>
      <c r="E1940" s="271"/>
      <c r="F1940" s="272"/>
      <c r="G1940" s="273">
        <v>411003</v>
      </c>
      <c r="H1940" s="274">
        <v>20000</v>
      </c>
      <c r="I1940" s="275">
        <f>2919+15360+800+456</f>
        <v>19535</v>
      </c>
      <c r="J1940" s="274">
        <v>456</v>
      </c>
    </row>
    <row r="1941" spans="1:10" s="259" customFormat="1" ht="24" x14ac:dyDescent="0.55000000000000004">
      <c r="A1941" s="270" t="s">
        <v>345</v>
      </c>
      <c r="B1941" s="271" t="s">
        <v>346</v>
      </c>
      <c r="C1941" s="271"/>
      <c r="D1941" s="271"/>
      <c r="E1941" s="271"/>
      <c r="F1941" s="272"/>
      <c r="G1941" s="273">
        <v>411004</v>
      </c>
      <c r="H1941" s="274">
        <v>0</v>
      </c>
      <c r="I1941" s="275">
        <v>0</v>
      </c>
      <c r="J1941" s="274"/>
    </row>
    <row r="1942" spans="1:10" s="259" customFormat="1" ht="24" x14ac:dyDescent="0.55000000000000004">
      <c r="A1942" s="270" t="s">
        <v>347</v>
      </c>
      <c r="B1942" s="271" t="s">
        <v>348</v>
      </c>
      <c r="C1942" s="271"/>
      <c r="D1942" s="271"/>
      <c r="E1942" s="271"/>
      <c r="F1942" s="272"/>
      <c r="G1942" s="273">
        <v>411005</v>
      </c>
      <c r="H1942" s="276">
        <v>100000</v>
      </c>
      <c r="I1942" s="277">
        <f>24629.02+645270.57+50322.79+48536.57</f>
        <v>768758.95</v>
      </c>
      <c r="J1942" s="276"/>
    </row>
    <row r="1943" spans="1:10" s="259" customFormat="1" ht="24" x14ac:dyDescent="0.55000000000000004">
      <c r="A1943" s="270"/>
      <c r="B1943" s="271"/>
      <c r="C1943" s="271"/>
      <c r="D1943" s="271"/>
      <c r="E1943" s="271"/>
      <c r="F1943" s="272"/>
      <c r="G1943" s="273"/>
      <c r="H1943" s="299">
        <f>SUM(H1938:H1942)</f>
        <v>4070000</v>
      </c>
      <c r="I1943" s="300">
        <f>SUM(I1938:I1942)</f>
        <v>5141960.54</v>
      </c>
      <c r="J1943" s="299">
        <f>SUM(J1938:J1942)</f>
        <v>5407</v>
      </c>
    </row>
    <row r="1944" spans="1:10" s="259" customFormat="1" ht="24" x14ac:dyDescent="0.55000000000000004">
      <c r="A1944" s="263" t="s">
        <v>349</v>
      </c>
      <c r="B1944" s="278"/>
      <c r="C1944" s="278"/>
      <c r="D1944" s="278"/>
      <c r="E1944" s="279"/>
      <c r="F1944" s="280"/>
      <c r="G1944" s="281"/>
      <c r="H1944" s="282"/>
      <c r="I1944" s="283"/>
      <c r="J1944" s="268"/>
    </row>
    <row r="1945" spans="1:10" s="259" customFormat="1" ht="24" x14ac:dyDescent="0.55000000000000004">
      <c r="A1945" s="270" t="s">
        <v>339</v>
      </c>
      <c r="B1945" s="271" t="s">
        <v>350</v>
      </c>
      <c r="C1945" s="284"/>
      <c r="D1945" s="284"/>
      <c r="E1945" s="284"/>
      <c r="F1945" s="285"/>
      <c r="G1945" s="286">
        <v>412103</v>
      </c>
      <c r="H1945" s="287">
        <v>500</v>
      </c>
      <c r="I1945" s="288">
        <f>77.6+19.4+38.8+155.2+252.2+213.4+213.4+19.4</f>
        <v>989.4</v>
      </c>
      <c r="J1945" s="274">
        <v>19.399999999999999</v>
      </c>
    </row>
    <row r="1946" spans="1:10" s="259" customFormat="1" ht="24" x14ac:dyDescent="0.55000000000000004">
      <c r="A1946" s="270" t="s">
        <v>341</v>
      </c>
      <c r="B1946" s="271" t="s">
        <v>351</v>
      </c>
      <c r="C1946" s="284"/>
      <c r="D1946" s="284"/>
      <c r="E1946" s="284"/>
      <c r="F1946" s="285"/>
      <c r="G1946" s="286">
        <v>412104</v>
      </c>
      <c r="H1946" s="287">
        <v>500</v>
      </c>
      <c r="I1946" s="288"/>
      <c r="J1946" s="274"/>
    </row>
    <row r="1947" spans="1:10" s="259" customFormat="1" ht="24" x14ac:dyDescent="0.55000000000000004">
      <c r="A1947" s="270" t="s">
        <v>343</v>
      </c>
      <c r="B1947" s="271" t="s">
        <v>352</v>
      </c>
      <c r="C1947" s="284"/>
      <c r="D1947" s="284"/>
      <c r="E1947" s="284"/>
      <c r="F1947" s="285"/>
      <c r="G1947" s="286">
        <v>4120106</v>
      </c>
      <c r="H1947" s="287">
        <v>20000</v>
      </c>
      <c r="I1947" s="288">
        <f>292+24+164+2398+65+136+181+3166+216+698</f>
        <v>7340</v>
      </c>
      <c r="J1947" s="274"/>
    </row>
    <row r="1948" spans="1:10" s="259" customFormat="1" ht="24" x14ac:dyDescent="0.55000000000000004">
      <c r="A1948" s="270" t="s">
        <v>345</v>
      </c>
      <c r="B1948" s="271" t="s">
        <v>456</v>
      </c>
      <c r="C1948" s="284"/>
      <c r="D1948" s="284"/>
      <c r="E1948" s="284"/>
      <c r="F1948" s="285"/>
      <c r="G1948" s="286"/>
      <c r="H1948" s="287">
        <v>500</v>
      </c>
      <c r="I1948" s="288"/>
      <c r="J1948" s="274"/>
    </row>
    <row r="1949" spans="1:10" s="259" customFormat="1" ht="24" x14ac:dyDescent="0.55000000000000004">
      <c r="A1949" s="270" t="s">
        <v>347</v>
      </c>
      <c r="B1949" s="271" t="s">
        <v>457</v>
      </c>
      <c r="C1949" s="284"/>
      <c r="D1949" s="284"/>
      <c r="E1949" s="284"/>
      <c r="F1949" s="285"/>
      <c r="G1949" s="286"/>
      <c r="H1949" s="287">
        <v>500</v>
      </c>
      <c r="I1949" s="288"/>
      <c r="J1949" s="274"/>
    </row>
    <row r="1950" spans="1:10" s="259" customFormat="1" ht="24" x14ac:dyDescent="0.55000000000000004">
      <c r="A1950" s="270"/>
      <c r="B1950" s="271" t="s">
        <v>458</v>
      </c>
      <c r="C1950" s="284"/>
      <c r="D1950" s="284"/>
      <c r="E1950" s="284"/>
      <c r="F1950" s="285"/>
      <c r="G1950" s="286"/>
      <c r="H1950" s="287"/>
      <c r="I1950" s="288"/>
      <c r="J1950" s="274"/>
    </row>
    <row r="1951" spans="1:10" s="259" customFormat="1" ht="24" x14ac:dyDescent="0.55000000000000004">
      <c r="A1951" s="270" t="s">
        <v>355</v>
      </c>
      <c r="B1951" s="271" t="s">
        <v>459</v>
      </c>
      <c r="C1951" s="284"/>
      <c r="D1951" s="284"/>
      <c r="E1951" s="284"/>
      <c r="F1951" s="285"/>
      <c r="G1951" s="286"/>
      <c r="H1951" s="287">
        <v>500</v>
      </c>
      <c r="I1951" s="288"/>
      <c r="J1951" s="274"/>
    </row>
    <row r="1952" spans="1:10" s="259" customFormat="1" ht="24" x14ac:dyDescent="0.55000000000000004">
      <c r="A1952" s="270"/>
      <c r="B1952" s="271" t="s">
        <v>460</v>
      </c>
      <c r="C1952" s="284"/>
      <c r="D1952" s="284"/>
      <c r="E1952" s="284"/>
      <c r="F1952" s="285"/>
      <c r="G1952" s="286"/>
      <c r="H1952" s="287"/>
      <c r="I1952" s="288"/>
      <c r="J1952" s="274"/>
    </row>
    <row r="1953" spans="1:11" s="289" customFormat="1" ht="24" x14ac:dyDescent="0.55000000000000004">
      <c r="A1953" s="290" t="s">
        <v>357</v>
      </c>
      <c r="B1953" s="271" t="s">
        <v>353</v>
      </c>
      <c r="C1953" s="271"/>
      <c r="D1953" s="271"/>
      <c r="E1953" s="271"/>
      <c r="F1953" s="272"/>
      <c r="G1953" s="286">
        <v>412128</v>
      </c>
      <c r="H1953" s="274">
        <v>1000</v>
      </c>
      <c r="I1953" s="275">
        <f>50+50+50+100+50+70+50+120+50</f>
        <v>590</v>
      </c>
      <c r="J1953" s="274">
        <v>50</v>
      </c>
    </row>
    <row r="1954" spans="1:11" s="289" customFormat="1" ht="24" x14ac:dyDescent="0.55000000000000004">
      <c r="A1954" s="290" t="s">
        <v>359</v>
      </c>
      <c r="B1954" s="271" t="s">
        <v>461</v>
      </c>
      <c r="C1954" s="271"/>
      <c r="D1954" s="271"/>
      <c r="E1954" s="271"/>
      <c r="F1954" s="272"/>
      <c r="G1954" s="286"/>
      <c r="H1954" s="274">
        <v>500</v>
      </c>
      <c r="I1954" s="275"/>
      <c r="J1954" s="274"/>
      <c r="K1954" s="289">
        <v>1</v>
      </c>
    </row>
    <row r="1955" spans="1:11" s="289" customFormat="1" ht="24" x14ac:dyDescent="0.55000000000000004">
      <c r="A1955" s="270" t="s">
        <v>361</v>
      </c>
      <c r="B1955" s="271" t="s">
        <v>354</v>
      </c>
      <c r="C1955" s="271"/>
      <c r="D1955" s="271"/>
      <c r="E1955" s="271"/>
      <c r="F1955" s="272"/>
      <c r="G1955" s="286">
        <v>412199</v>
      </c>
      <c r="H1955" s="274">
        <v>1500</v>
      </c>
      <c r="I1955" s="275">
        <f>200+10+10+20+20+10+900</f>
        <v>1170</v>
      </c>
      <c r="J1955" s="274"/>
    </row>
    <row r="1956" spans="1:11" s="289" customFormat="1" ht="24" x14ac:dyDescent="0.55000000000000004">
      <c r="A1956" s="270" t="s">
        <v>363</v>
      </c>
      <c r="B1956" s="271" t="s">
        <v>356</v>
      </c>
      <c r="C1956" s="271"/>
      <c r="D1956" s="271"/>
      <c r="E1956" s="271"/>
      <c r="F1956" s="272"/>
      <c r="G1956" s="286"/>
      <c r="H1956" s="274">
        <v>1500</v>
      </c>
      <c r="I1956" s="275">
        <f>200+650+200+450+400</f>
        <v>1900</v>
      </c>
      <c r="J1956" s="274"/>
    </row>
    <row r="1957" spans="1:11" s="289" customFormat="1" ht="24" x14ac:dyDescent="0.55000000000000004">
      <c r="A1957" s="270" t="s">
        <v>365</v>
      </c>
      <c r="B1957" s="271" t="s">
        <v>358</v>
      </c>
      <c r="C1957" s="271"/>
      <c r="D1957" s="271"/>
      <c r="E1957" s="271"/>
      <c r="F1957" s="272"/>
      <c r="G1957" s="286"/>
      <c r="H1957" s="274">
        <v>50000</v>
      </c>
      <c r="I1957" s="275">
        <v>84320</v>
      </c>
      <c r="J1957" s="274"/>
    </row>
    <row r="1958" spans="1:11" s="289" customFormat="1" ht="24" x14ac:dyDescent="0.55000000000000004">
      <c r="A1958" s="270" t="s">
        <v>367</v>
      </c>
      <c r="B1958" s="271" t="s">
        <v>360</v>
      </c>
      <c r="C1958" s="271"/>
      <c r="D1958" s="271"/>
      <c r="E1958" s="271"/>
      <c r="F1958" s="272"/>
      <c r="G1958" s="286">
        <v>412211</v>
      </c>
      <c r="H1958" s="274">
        <v>500</v>
      </c>
      <c r="I1958" s="275"/>
      <c r="J1958" s="274"/>
    </row>
    <row r="1959" spans="1:11" s="291" customFormat="1" ht="24" x14ac:dyDescent="0.55000000000000004">
      <c r="A1959" s="270" t="s">
        <v>369</v>
      </c>
      <c r="B1959" s="291" t="s">
        <v>362</v>
      </c>
      <c r="F1959" s="292"/>
      <c r="G1959" s="293">
        <v>412299</v>
      </c>
      <c r="H1959" s="294">
        <v>500</v>
      </c>
      <c r="I1959" s="295"/>
      <c r="J1959" s="294"/>
    </row>
    <row r="1960" spans="1:11" s="265" customFormat="1" ht="24" x14ac:dyDescent="0.55000000000000004">
      <c r="A1960" s="270" t="s">
        <v>371</v>
      </c>
      <c r="B1960" s="291" t="s">
        <v>462</v>
      </c>
      <c r="C1960" s="291"/>
      <c r="D1960" s="291"/>
      <c r="E1960" s="291"/>
      <c r="F1960" s="292"/>
      <c r="G1960" s="293"/>
      <c r="H1960" s="294">
        <v>500</v>
      </c>
      <c r="I1960" s="295"/>
      <c r="J1960" s="294"/>
    </row>
    <row r="1961" spans="1:11" s="289" customFormat="1" ht="24" x14ac:dyDescent="0.55000000000000004">
      <c r="A1961" s="270" t="s">
        <v>373</v>
      </c>
      <c r="B1961" s="291" t="s">
        <v>364</v>
      </c>
      <c r="C1961" s="291"/>
      <c r="D1961" s="291"/>
      <c r="E1961" s="291"/>
      <c r="F1961" s="292"/>
      <c r="G1961" s="296">
        <v>412303</v>
      </c>
      <c r="H1961" s="294">
        <v>500</v>
      </c>
      <c r="I1961" s="295">
        <v>100</v>
      </c>
      <c r="J1961" s="294"/>
    </row>
    <row r="1962" spans="1:11" s="289" customFormat="1" ht="24" x14ac:dyDescent="0.55000000000000004">
      <c r="A1962" s="270" t="s">
        <v>463</v>
      </c>
      <c r="B1962" s="271" t="s">
        <v>366</v>
      </c>
      <c r="C1962" s="271"/>
      <c r="D1962" s="271"/>
      <c r="E1962" s="271"/>
      <c r="F1962" s="272"/>
      <c r="G1962" s="273">
        <v>412304</v>
      </c>
      <c r="H1962" s="274">
        <v>500</v>
      </c>
      <c r="I1962" s="275"/>
      <c r="J1962" s="274"/>
    </row>
    <row r="1963" spans="1:11" s="289" customFormat="1" ht="24" x14ac:dyDescent="0.55000000000000004">
      <c r="A1963" s="270" t="s">
        <v>464</v>
      </c>
      <c r="B1963" s="271" t="s">
        <v>368</v>
      </c>
      <c r="C1963" s="271"/>
      <c r="D1963" s="271"/>
      <c r="E1963" s="271"/>
      <c r="F1963" s="272"/>
      <c r="G1963" s="273">
        <v>412305</v>
      </c>
      <c r="H1963" s="274">
        <v>500</v>
      </c>
      <c r="I1963" s="275"/>
      <c r="J1963" s="274"/>
    </row>
    <row r="1964" spans="1:11" s="289" customFormat="1" ht="24" x14ac:dyDescent="0.55000000000000004">
      <c r="A1964" s="270" t="s">
        <v>465</v>
      </c>
      <c r="B1964" s="271" t="s">
        <v>370</v>
      </c>
      <c r="C1964" s="271"/>
      <c r="D1964" s="271"/>
      <c r="E1964" s="271"/>
      <c r="F1964" s="272"/>
      <c r="G1964" s="273">
        <v>412306</v>
      </c>
      <c r="H1964" s="276">
        <v>500</v>
      </c>
      <c r="I1964" s="277"/>
      <c r="J1964" s="274"/>
    </row>
    <row r="1965" spans="1:11" s="289" customFormat="1" ht="24" x14ac:dyDescent="0.55000000000000004">
      <c r="A1965" s="270" t="s">
        <v>466</v>
      </c>
      <c r="B1965" s="271" t="s">
        <v>372</v>
      </c>
      <c r="C1965" s="271"/>
      <c r="D1965" s="271"/>
      <c r="E1965" s="271"/>
      <c r="F1965" s="272"/>
      <c r="G1965" s="273">
        <v>412307</v>
      </c>
      <c r="H1965" s="276">
        <v>2000</v>
      </c>
      <c r="I1965" s="277">
        <f>20+20+40+80+20+60+40+100+40+80</f>
        <v>500</v>
      </c>
      <c r="J1965" s="274"/>
    </row>
    <row r="1966" spans="1:11" s="289" customFormat="1" ht="24" x14ac:dyDescent="0.55000000000000004">
      <c r="A1966" s="270" t="s">
        <v>467</v>
      </c>
      <c r="B1966" s="271" t="s">
        <v>374</v>
      </c>
      <c r="C1966" s="271"/>
      <c r="D1966" s="271"/>
      <c r="E1966" s="271"/>
      <c r="F1966" s="272"/>
      <c r="G1966" s="273">
        <v>412399</v>
      </c>
      <c r="H1966" s="276">
        <v>500</v>
      </c>
      <c r="I1966" s="277">
        <f>70+30+20+500+500+10</f>
        <v>1130</v>
      </c>
      <c r="J1966" s="268"/>
    </row>
    <row r="1967" spans="1:11" s="289" customFormat="1" ht="24" x14ac:dyDescent="0.55000000000000004">
      <c r="A1967" s="305"/>
      <c r="B1967" s="306"/>
      <c r="C1967" s="306"/>
      <c r="D1967" s="306"/>
      <c r="E1967" s="847"/>
      <c r="F1967" s="848"/>
      <c r="G1967" s="396"/>
      <c r="H1967" s="299">
        <f>SUM(H1945:H1966)</f>
        <v>83000</v>
      </c>
      <c r="I1967" s="300">
        <f>SUM(I1945:I1966)</f>
        <v>98039.4</v>
      </c>
      <c r="J1967" s="299">
        <f>SUM(J1945:J1966)</f>
        <v>69.400000000000006</v>
      </c>
    </row>
    <row r="1972" spans="1:10" s="289" customFormat="1" ht="24" x14ac:dyDescent="0.55000000000000004">
      <c r="A1972" s="858" t="s">
        <v>455</v>
      </c>
      <c r="B1972" s="858"/>
      <c r="C1972" s="858"/>
      <c r="D1972" s="858"/>
      <c r="E1972" s="858"/>
      <c r="F1972" s="858"/>
      <c r="G1972" s="858"/>
      <c r="H1972" s="858"/>
      <c r="I1972" s="858"/>
      <c r="J1972" s="858"/>
    </row>
    <row r="1973" spans="1:10" s="289" customFormat="1" ht="24" x14ac:dyDescent="0.55000000000000004">
      <c r="A1973" s="395"/>
      <c r="B1973" s="395"/>
      <c r="C1973" s="395"/>
      <c r="D1973" s="395"/>
      <c r="E1973" s="395"/>
      <c r="F1973" s="395"/>
      <c r="G1973" s="395"/>
      <c r="H1973" s="395"/>
      <c r="I1973" s="395"/>
      <c r="J1973" s="395"/>
    </row>
    <row r="1974" spans="1:10" s="259" customFormat="1" ht="24" x14ac:dyDescent="0.55000000000000004">
      <c r="A1974" s="855"/>
      <c r="B1974" s="856"/>
      <c r="C1974" s="856"/>
      <c r="D1974" s="856"/>
      <c r="E1974" s="856"/>
      <c r="F1974" s="857"/>
      <c r="G1974" s="260" t="s">
        <v>78</v>
      </c>
      <c r="H1974" s="260" t="s">
        <v>6</v>
      </c>
      <c r="I1974" s="261" t="s">
        <v>335</v>
      </c>
      <c r="J1974" s="262" t="s">
        <v>336</v>
      </c>
    </row>
    <row r="1975" spans="1:10" s="289" customFormat="1" ht="24" x14ac:dyDescent="0.55000000000000004">
      <c r="A1975" s="301" t="s">
        <v>375</v>
      </c>
      <c r="B1975" s="302"/>
      <c r="C1975" s="302"/>
      <c r="D1975" s="271"/>
      <c r="E1975" s="271"/>
      <c r="F1975" s="272"/>
      <c r="G1975" s="298"/>
      <c r="H1975" s="268"/>
      <c r="I1975" s="269"/>
      <c r="J1975" s="268"/>
    </row>
    <row r="1976" spans="1:10" s="289" customFormat="1" ht="24" x14ac:dyDescent="0.55000000000000004">
      <c r="A1976" s="270" t="s">
        <v>339</v>
      </c>
      <c r="B1976" s="271" t="s">
        <v>376</v>
      </c>
      <c r="C1976" s="271"/>
      <c r="D1976" s="271"/>
      <c r="E1976" s="271"/>
      <c r="F1976" s="272"/>
      <c r="G1976" s="273">
        <v>413003</v>
      </c>
      <c r="H1976" s="276">
        <v>100000</v>
      </c>
      <c r="I1976" s="277">
        <f>33122.75+16284.37+24237.67+8594.29+13586.3+6.5+13.6</f>
        <v>95845.480000000025</v>
      </c>
      <c r="J1976" s="274">
        <f>8594.29+13.6+6.5+13586.3</f>
        <v>22200.690000000002</v>
      </c>
    </row>
    <row r="1977" spans="1:10" s="259" customFormat="1" ht="24" x14ac:dyDescent="0.55000000000000004">
      <c r="A1977" s="270" t="s">
        <v>341</v>
      </c>
      <c r="B1977" s="271" t="s">
        <v>377</v>
      </c>
      <c r="C1977" s="271"/>
      <c r="D1977" s="271"/>
      <c r="E1977" s="271"/>
      <c r="F1977" s="272"/>
      <c r="G1977" s="273">
        <v>413999</v>
      </c>
      <c r="H1977" s="276">
        <v>10000</v>
      </c>
      <c r="I1977" s="277">
        <v>0</v>
      </c>
      <c r="J1977" s="268">
        <v>0</v>
      </c>
    </row>
    <row r="1978" spans="1:10" s="259" customFormat="1" ht="24" x14ac:dyDescent="0.55000000000000004">
      <c r="A1978" s="270"/>
      <c r="B1978" s="271"/>
      <c r="C1978" s="271"/>
      <c r="D1978" s="271"/>
      <c r="E1978" s="271"/>
      <c r="F1978" s="272"/>
      <c r="G1978" s="273"/>
      <c r="H1978" s="299">
        <f>SUM(H1976:H1977)</f>
        <v>110000</v>
      </c>
      <c r="I1978" s="300">
        <f>SUM(I1976:I1977)</f>
        <v>95845.480000000025</v>
      </c>
      <c r="J1978" s="299">
        <f>SUM(J1976:J1977)</f>
        <v>22200.690000000002</v>
      </c>
    </row>
    <row r="1979" spans="1:10" s="289" customFormat="1" ht="24" x14ac:dyDescent="0.55000000000000004">
      <c r="A1979" s="301" t="s">
        <v>378</v>
      </c>
      <c r="B1979" s="302"/>
      <c r="C1979" s="302"/>
      <c r="D1979" s="302"/>
      <c r="E1979" s="302"/>
      <c r="F1979" s="272"/>
      <c r="G1979" s="298"/>
      <c r="H1979" s="268"/>
      <c r="I1979" s="269"/>
      <c r="J1979" s="268"/>
    </row>
    <row r="1980" spans="1:10" s="289" customFormat="1" ht="24" x14ac:dyDescent="0.55000000000000004">
      <c r="A1980" s="270"/>
      <c r="B1980" s="271" t="s">
        <v>21</v>
      </c>
      <c r="C1980" s="271"/>
      <c r="D1980" s="271"/>
      <c r="E1980" s="271"/>
      <c r="F1980" s="272"/>
      <c r="G1980" s="273">
        <v>414006</v>
      </c>
      <c r="H1980" s="274">
        <v>1000000</v>
      </c>
      <c r="I1980" s="275">
        <f>41213+40907+47749+76891+68560+118069+65793+43770+118003+21586+167914+73628</f>
        <v>884083</v>
      </c>
      <c r="J1980" s="274">
        <v>73628</v>
      </c>
    </row>
    <row r="1981" spans="1:10" s="289" customFormat="1" ht="24" x14ac:dyDescent="0.55000000000000004">
      <c r="A1981" s="270" t="s">
        <v>341</v>
      </c>
      <c r="B1981" s="271" t="s">
        <v>379</v>
      </c>
      <c r="C1981" s="271"/>
      <c r="D1981" s="271"/>
      <c r="E1981" s="271"/>
      <c r="F1981" s="272"/>
      <c r="G1981" s="273">
        <v>414999</v>
      </c>
      <c r="H1981" s="268">
        <v>5000</v>
      </c>
      <c r="I1981" s="269">
        <f>200+200+200+400+200+400+400+200+200+200+800</f>
        <v>3400</v>
      </c>
      <c r="J1981" s="303"/>
    </row>
    <row r="1982" spans="1:10" s="289" customFormat="1" ht="24" x14ac:dyDescent="0.55000000000000004">
      <c r="A1982" s="391"/>
      <c r="B1982" s="392"/>
      <c r="C1982" s="392"/>
      <c r="D1982" s="392"/>
      <c r="E1982" s="859" t="s">
        <v>151</v>
      </c>
      <c r="F1982" s="860"/>
      <c r="G1982" s="393"/>
      <c r="H1982" s="299">
        <f>SUM(H1980:H1981)</f>
        <v>1005000</v>
      </c>
      <c r="I1982" s="300">
        <f>SUM(I1980:I1981)</f>
        <v>887483</v>
      </c>
      <c r="J1982" s="299">
        <f>SUM(J1980:J1981)</f>
        <v>73628</v>
      </c>
    </row>
    <row r="1983" spans="1:10" s="289" customFormat="1" ht="24" x14ac:dyDescent="0.55000000000000004">
      <c r="A1983" s="301" t="s">
        <v>380</v>
      </c>
      <c r="B1983" s="302"/>
      <c r="C1983" s="302"/>
      <c r="D1983" s="271"/>
      <c r="E1983" s="271"/>
      <c r="F1983" s="272"/>
      <c r="G1983" s="298"/>
      <c r="H1983" s="268"/>
      <c r="I1983" s="269"/>
      <c r="J1983" s="268"/>
    </row>
    <row r="1984" spans="1:10" s="289" customFormat="1" ht="24" x14ac:dyDescent="0.55000000000000004">
      <c r="A1984" s="270" t="s">
        <v>339</v>
      </c>
      <c r="B1984" s="271" t="s">
        <v>381</v>
      </c>
      <c r="C1984" s="271"/>
      <c r="D1984" s="271"/>
      <c r="E1984" s="271"/>
      <c r="F1984" s="272"/>
      <c r="G1984" s="273">
        <v>415004</v>
      </c>
      <c r="H1984" s="274">
        <v>80000</v>
      </c>
      <c r="I1984" s="277">
        <f>3000+7200+1800+4500</f>
        <v>16500</v>
      </c>
      <c r="J1984" s="274"/>
    </row>
    <row r="1985" spans="1:10" s="289" customFormat="1" ht="24" x14ac:dyDescent="0.55000000000000004">
      <c r="A1985" s="270" t="s">
        <v>341</v>
      </c>
      <c r="B1985" s="271" t="s">
        <v>382</v>
      </c>
      <c r="C1985" s="271"/>
      <c r="D1985" s="271"/>
      <c r="E1985" s="271"/>
      <c r="F1985" s="272"/>
      <c r="G1985" s="273">
        <v>415999</v>
      </c>
      <c r="H1985" s="276">
        <v>10000</v>
      </c>
      <c r="I1985" s="277">
        <f>500+376417.34+5+10+10</f>
        <v>376942.34</v>
      </c>
      <c r="J1985" s="268"/>
    </row>
    <row r="1986" spans="1:10" s="289" customFormat="1" ht="24" x14ac:dyDescent="0.55000000000000004">
      <c r="A1986" s="270"/>
      <c r="B1986" s="271"/>
      <c r="C1986" s="271"/>
      <c r="D1986" s="271"/>
      <c r="E1986" s="271"/>
      <c r="F1986" s="272"/>
      <c r="G1986" s="273"/>
      <c r="H1986" s="299">
        <f>SUM(H1984:H1985)</f>
        <v>90000</v>
      </c>
      <c r="I1986" s="300">
        <f>SUM(I1984:I1985)</f>
        <v>393442.34</v>
      </c>
      <c r="J1986" s="299">
        <f>SUM(J1984:J1985)</f>
        <v>0</v>
      </c>
    </row>
    <row r="1987" spans="1:10" s="289" customFormat="1" ht="24" x14ac:dyDescent="0.55000000000000004">
      <c r="A1987" s="301" t="s">
        <v>383</v>
      </c>
      <c r="B1987" s="302"/>
      <c r="C1987" s="302"/>
      <c r="D1987" s="271"/>
      <c r="E1987" s="271"/>
      <c r="F1987" s="272"/>
      <c r="G1987" s="298"/>
      <c r="H1987" s="268"/>
      <c r="I1987" s="269"/>
      <c r="J1987" s="268"/>
    </row>
    <row r="1988" spans="1:10" s="289" customFormat="1" ht="24" x14ac:dyDescent="0.55000000000000004">
      <c r="A1988" s="270" t="s">
        <v>339</v>
      </c>
      <c r="B1988" s="271" t="s">
        <v>384</v>
      </c>
      <c r="C1988" s="271"/>
      <c r="D1988" s="271"/>
      <c r="E1988" s="271"/>
      <c r="F1988" s="272"/>
      <c r="G1988" s="273">
        <v>416001</v>
      </c>
      <c r="H1988" s="274">
        <v>2000</v>
      </c>
      <c r="I1988" s="277">
        <v>3665</v>
      </c>
      <c r="J1988" s="274">
        <v>0</v>
      </c>
    </row>
    <row r="1989" spans="1:10" s="289" customFormat="1" ht="24" x14ac:dyDescent="0.55000000000000004">
      <c r="A1989" s="270" t="s">
        <v>341</v>
      </c>
      <c r="B1989" s="271" t="s">
        <v>385</v>
      </c>
      <c r="C1989" s="271"/>
      <c r="D1989" s="271"/>
      <c r="E1989" s="271"/>
      <c r="F1989" s="272"/>
      <c r="G1989" s="273">
        <v>416999</v>
      </c>
      <c r="H1989" s="276">
        <v>0</v>
      </c>
      <c r="I1989" s="277">
        <v>0</v>
      </c>
      <c r="J1989" s="268">
        <v>0</v>
      </c>
    </row>
    <row r="1990" spans="1:10" s="289" customFormat="1" ht="24" x14ac:dyDescent="0.55000000000000004">
      <c r="A1990" s="270"/>
      <c r="B1990" s="271"/>
      <c r="C1990" s="271"/>
      <c r="D1990" s="271"/>
      <c r="E1990" s="271"/>
      <c r="F1990" s="272"/>
      <c r="G1990" s="273"/>
      <c r="H1990" s="299">
        <f>SUM(H1988:H1989)</f>
        <v>2000</v>
      </c>
      <c r="I1990" s="300">
        <f>SUM(I1988:I1989)</f>
        <v>3665</v>
      </c>
      <c r="J1990" s="299">
        <f>SUM(J1988:J1989)</f>
        <v>0</v>
      </c>
    </row>
    <row r="1991" spans="1:10" s="289" customFormat="1" ht="24" x14ac:dyDescent="0.55000000000000004">
      <c r="A1991" s="304" t="s">
        <v>386</v>
      </c>
      <c r="B1991" s="271"/>
      <c r="C1991" s="271"/>
      <c r="D1991" s="271"/>
      <c r="E1991" s="271"/>
      <c r="F1991" s="272"/>
      <c r="G1991" s="273"/>
      <c r="H1991" s="268"/>
      <c r="I1991" s="269"/>
      <c r="J1991" s="268"/>
    </row>
    <row r="1992" spans="1:10" s="259" customFormat="1" ht="24" x14ac:dyDescent="0.55000000000000004">
      <c r="A1992" s="270" t="s">
        <v>339</v>
      </c>
      <c r="B1992" s="271" t="s">
        <v>387</v>
      </c>
      <c r="C1992" s="271"/>
      <c r="D1992" s="271"/>
      <c r="E1992" s="271"/>
      <c r="F1992" s="272"/>
      <c r="G1992" s="273">
        <v>421002</v>
      </c>
      <c r="H1992" s="274">
        <v>7000000</v>
      </c>
      <c r="I1992" s="274">
        <f>576013.89+578421.62+586350.36+110502.39+605668.57+625606.99+622485.21+626432.16+541661.25+581816.39+1233293.3+6488.97</f>
        <v>6694741.0999999996</v>
      </c>
      <c r="J1992" s="274">
        <v>6488.97</v>
      </c>
    </row>
    <row r="1993" spans="1:10" s="259" customFormat="1" ht="24" x14ac:dyDescent="0.55000000000000004">
      <c r="A1993" s="270" t="s">
        <v>341</v>
      </c>
      <c r="B1993" s="271" t="s">
        <v>388</v>
      </c>
      <c r="C1993" s="271"/>
      <c r="D1993" s="271"/>
      <c r="E1993" s="271"/>
      <c r="F1993" s="272"/>
      <c r="G1993" s="273">
        <v>421004</v>
      </c>
      <c r="H1993" s="274">
        <v>1500000</v>
      </c>
      <c r="I1993" s="274">
        <f>113953.78+131505.43+128502.61+128239.4+124886.95+141721.59+115012.16+145485.38+122709.93+266873.04</f>
        <v>1418890.27</v>
      </c>
      <c r="J1993" s="274">
        <v>266873.03999999998</v>
      </c>
    </row>
    <row r="1994" spans="1:10" s="259" customFormat="1" ht="24" x14ac:dyDescent="0.55000000000000004">
      <c r="A1994" s="270" t="s">
        <v>343</v>
      </c>
      <c r="B1994" s="271" t="s">
        <v>389</v>
      </c>
      <c r="C1994" s="271"/>
      <c r="D1994" s="271"/>
      <c r="E1994" s="271"/>
      <c r="F1994" s="272"/>
      <c r="G1994" s="273">
        <v>421005</v>
      </c>
      <c r="H1994" s="274">
        <v>100000</v>
      </c>
      <c r="I1994" s="274">
        <f>2747.3+3451.03+11616.96+6332.98+5128.71+6834.08+3963.25+10316.19+5207.28</f>
        <v>55597.78</v>
      </c>
      <c r="J1994" s="274">
        <v>5207.28</v>
      </c>
    </row>
    <row r="1995" spans="1:10" s="259" customFormat="1" ht="24" x14ac:dyDescent="0.55000000000000004">
      <c r="A1995" s="270" t="s">
        <v>345</v>
      </c>
      <c r="B1995" s="271" t="s">
        <v>390</v>
      </c>
      <c r="C1995" s="271"/>
      <c r="D1995" s="271"/>
      <c r="E1995" s="271"/>
      <c r="F1995" s="272"/>
      <c r="G1995" s="273">
        <v>421006</v>
      </c>
      <c r="H1995" s="274">
        <v>700000</v>
      </c>
      <c r="I1995" s="274">
        <f>47274.97+53800.47+56240.22+68576.03+61149.91+92271.74+45739.07+62462.32+44653.72+99448.65</f>
        <v>631617.1</v>
      </c>
      <c r="J1995" s="274">
        <v>99448.65</v>
      </c>
    </row>
    <row r="1996" spans="1:10" s="259" customFormat="1" ht="24" x14ac:dyDescent="0.55000000000000004">
      <c r="A1996" s="270" t="s">
        <v>347</v>
      </c>
      <c r="B1996" s="271" t="s">
        <v>391</v>
      </c>
      <c r="C1996" s="271"/>
      <c r="D1996" s="271"/>
      <c r="E1996" s="271"/>
      <c r="F1996" s="272"/>
      <c r="G1996" s="273">
        <v>421007</v>
      </c>
      <c r="H1996" s="274">
        <v>1000000</v>
      </c>
      <c r="I1996" s="275">
        <f>102069.72+113369.21+155.2+106077+125885.21+147366.97+141805.55+118179.77-155.2-252.2-213.4-213.4+144177.71+126768.83+263110.22</f>
        <v>1388131.1900000002</v>
      </c>
      <c r="J1996" s="274">
        <v>263110.21999999997</v>
      </c>
    </row>
    <row r="1997" spans="1:10" s="259" customFormat="1" ht="24" x14ac:dyDescent="0.55000000000000004">
      <c r="A1997" s="270" t="s">
        <v>355</v>
      </c>
      <c r="B1997" s="271" t="s">
        <v>468</v>
      </c>
      <c r="C1997" s="271"/>
      <c r="D1997" s="271"/>
      <c r="E1997" s="271"/>
      <c r="F1997" s="272"/>
      <c r="G1997" s="273">
        <v>421011</v>
      </c>
      <c r="H1997" s="274">
        <v>10000</v>
      </c>
      <c r="I1997" s="275"/>
      <c r="J1997" s="274"/>
    </row>
    <row r="1998" spans="1:10" s="259" customFormat="1" ht="24" x14ac:dyDescent="0.55000000000000004">
      <c r="A1998" s="290" t="s">
        <v>357</v>
      </c>
      <c r="B1998" s="259" t="s">
        <v>392</v>
      </c>
      <c r="G1998" s="273">
        <v>421012</v>
      </c>
      <c r="H1998" s="274">
        <v>30000</v>
      </c>
      <c r="I1998" s="275">
        <f>4875.42+6721.19+14806.05</f>
        <v>26402.66</v>
      </c>
      <c r="J1998" s="274">
        <v>14806.05</v>
      </c>
    </row>
    <row r="1999" spans="1:10" s="259" customFormat="1" ht="24" x14ac:dyDescent="0.55000000000000004">
      <c r="A1999" s="290" t="s">
        <v>359</v>
      </c>
      <c r="B1999" s="271" t="s">
        <v>393</v>
      </c>
      <c r="C1999" s="271"/>
      <c r="D1999" s="271"/>
      <c r="E1999" s="271"/>
      <c r="F1999" s="272"/>
      <c r="G1999" s="273">
        <v>421013</v>
      </c>
      <c r="H1999" s="274">
        <v>40000</v>
      </c>
      <c r="I1999" s="275">
        <f>7014.11+6835.44+5210.71+4678.15</f>
        <v>23738.409999999996</v>
      </c>
      <c r="J1999" s="274"/>
    </row>
    <row r="2000" spans="1:10" s="259" customFormat="1" ht="24" x14ac:dyDescent="0.55000000000000004">
      <c r="A2000" s="270" t="s">
        <v>361</v>
      </c>
      <c r="B2000" s="271" t="s">
        <v>394</v>
      </c>
      <c r="C2000" s="271"/>
      <c r="D2000" s="271"/>
      <c r="E2000" s="271"/>
      <c r="F2000" s="272"/>
      <c r="G2000" s="273">
        <v>421015</v>
      </c>
      <c r="H2000" s="274">
        <v>1000000</v>
      </c>
      <c r="I2000" s="275">
        <f>110381.75+16924+53331+72684+14094+155752+80580+48382+60830</f>
        <v>612958.75</v>
      </c>
      <c r="J2000" s="274">
        <v>60830</v>
      </c>
    </row>
    <row r="2001" spans="1:10" s="259" customFormat="1" ht="24" x14ac:dyDescent="0.55000000000000004">
      <c r="A2001" s="270" t="s">
        <v>363</v>
      </c>
      <c r="B2001" s="271" t="s">
        <v>395</v>
      </c>
      <c r="C2001" s="271"/>
      <c r="D2001" s="271"/>
      <c r="E2001" s="271"/>
      <c r="F2001" s="272"/>
      <c r="G2001" s="273">
        <v>421999</v>
      </c>
      <c r="H2001" s="274">
        <v>10000</v>
      </c>
      <c r="I2001" s="275"/>
      <c r="J2001" s="274"/>
    </row>
    <row r="2002" spans="1:10" s="259" customFormat="1" ht="24" x14ac:dyDescent="0.55000000000000004">
      <c r="A2002" s="270" t="s">
        <v>365</v>
      </c>
      <c r="B2002" s="271" t="s">
        <v>505</v>
      </c>
      <c r="C2002" s="271"/>
      <c r="D2002" s="271"/>
      <c r="E2002" s="271"/>
      <c r="F2002" s="272"/>
      <c r="G2002" s="273"/>
      <c r="H2002" s="268">
        <v>500000</v>
      </c>
      <c r="I2002" s="269">
        <f>767.81+34450.16+35453.95+35689.62+28991.29+36343.08+35090.2+682650.87</f>
        <v>889436.98</v>
      </c>
      <c r="J2002" s="268">
        <v>682650.87</v>
      </c>
    </row>
    <row r="2003" spans="1:10" s="289" customFormat="1" ht="24" x14ac:dyDescent="0.55000000000000004">
      <c r="A2003" s="297"/>
      <c r="B2003" s="271"/>
      <c r="C2003" s="271"/>
      <c r="D2003" s="271"/>
      <c r="E2003" s="861" t="s">
        <v>151</v>
      </c>
      <c r="F2003" s="862"/>
      <c r="G2003" s="298"/>
      <c r="H2003" s="299">
        <f>SUM(H1992:H2002)</f>
        <v>11890000</v>
      </c>
      <c r="I2003" s="300">
        <f>SUM(I1992:I2002)</f>
        <v>11741514.24</v>
      </c>
      <c r="J2003" s="299">
        <f>SUM(J1992:J2002)</f>
        <v>1399415.08</v>
      </c>
    </row>
    <row r="2004" spans="1:10" s="289" customFormat="1" ht="24" x14ac:dyDescent="0.55000000000000004">
      <c r="A2004" s="305"/>
      <c r="B2004" s="306"/>
      <c r="C2004" s="306"/>
      <c r="D2004" s="306"/>
      <c r="E2004" s="847"/>
      <c r="F2004" s="848"/>
      <c r="G2004" s="307"/>
      <c r="H2004" s="299"/>
      <c r="I2004" s="299"/>
      <c r="J2004" s="299"/>
    </row>
    <row r="2006" spans="1:10" s="289" customFormat="1" ht="24" x14ac:dyDescent="0.55000000000000004">
      <c r="A2006" s="849"/>
      <c r="B2006" s="849"/>
      <c r="C2006" s="849"/>
      <c r="D2006" s="849"/>
      <c r="G2006" s="265"/>
      <c r="H2006" s="258"/>
      <c r="I2006" s="258"/>
      <c r="J2006" s="258"/>
    </row>
    <row r="2007" spans="1:10" s="289" customFormat="1" ht="24" x14ac:dyDescent="0.55000000000000004">
      <c r="A2007" s="605"/>
      <c r="B2007" s="605"/>
      <c r="C2007" s="605"/>
      <c r="D2007" s="605"/>
      <c r="H2007" s="258"/>
      <c r="I2007" s="258"/>
      <c r="J2007" s="258"/>
    </row>
    <row r="2008" spans="1:10" s="289" customFormat="1" ht="24" x14ac:dyDescent="0.55000000000000004">
      <c r="A2008" s="605"/>
      <c r="B2008" s="605"/>
      <c r="C2008" s="605"/>
      <c r="D2008" s="605"/>
      <c r="H2008" s="258"/>
      <c r="I2008" s="258"/>
      <c r="J2008" s="258"/>
    </row>
    <row r="2009" spans="1:10" s="289" customFormat="1" ht="24" x14ac:dyDescent="0.55000000000000004">
      <c r="A2009" s="605"/>
      <c r="B2009" s="605"/>
      <c r="C2009" s="605"/>
      <c r="D2009" s="605"/>
      <c r="H2009" s="258"/>
      <c r="I2009" s="258"/>
      <c r="J2009" s="258"/>
    </row>
    <row r="2010" spans="1:10" s="289" customFormat="1" ht="24" x14ac:dyDescent="0.55000000000000004">
      <c r="A2010" s="605"/>
      <c r="B2010" s="605"/>
      <c r="C2010" s="605"/>
      <c r="D2010" s="605"/>
      <c r="H2010" s="258"/>
      <c r="I2010" s="258"/>
      <c r="J2010" s="258"/>
    </row>
    <row r="2011" spans="1:10" s="289" customFormat="1" ht="24" x14ac:dyDescent="0.55000000000000004">
      <c r="A2011" s="605"/>
      <c r="B2011" s="605"/>
      <c r="C2011" s="605"/>
      <c r="D2011" s="605"/>
      <c r="H2011" s="258"/>
      <c r="I2011" s="258"/>
      <c r="J2011" s="258"/>
    </row>
    <row r="2012" spans="1:10" s="289" customFormat="1" ht="24" x14ac:dyDescent="0.55000000000000004">
      <c r="A2012" s="605"/>
      <c r="B2012" s="605"/>
      <c r="C2012" s="605"/>
      <c r="D2012" s="605"/>
      <c r="F2012" s="605" t="s">
        <v>491</v>
      </c>
      <c r="H2012" s="258"/>
      <c r="I2012" s="258"/>
      <c r="J2012" s="258"/>
    </row>
    <row r="2013" spans="1:10" s="289" customFormat="1" ht="24" x14ac:dyDescent="0.55000000000000004">
      <c r="A2013" s="605"/>
      <c r="B2013" s="605"/>
      <c r="C2013" s="605"/>
      <c r="D2013" s="605"/>
      <c r="F2013" s="605"/>
      <c r="H2013" s="258"/>
      <c r="I2013" s="258"/>
      <c r="J2013" s="258"/>
    </row>
    <row r="2014" spans="1:10" s="289" customFormat="1" ht="24" x14ac:dyDescent="0.55000000000000004">
      <c r="A2014" s="850"/>
      <c r="B2014" s="851"/>
      <c r="C2014" s="851"/>
      <c r="D2014" s="851"/>
      <c r="E2014" s="851"/>
      <c r="F2014" s="852"/>
      <c r="G2014" s="411" t="s">
        <v>78</v>
      </c>
      <c r="H2014" s="411" t="s">
        <v>6</v>
      </c>
      <c r="I2014" s="261" t="s">
        <v>335</v>
      </c>
      <c r="J2014" s="412" t="s">
        <v>336</v>
      </c>
    </row>
    <row r="2015" spans="1:10" s="289" customFormat="1" ht="24" x14ac:dyDescent="0.55000000000000004">
      <c r="A2015" s="301" t="s">
        <v>396</v>
      </c>
      <c r="B2015" s="302"/>
      <c r="C2015" s="271"/>
      <c r="D2015" s="271"/>
      <c r="E2015" s="271"/>
      <c r="F2015" s="272"/>
      <c r="G2015" s="298"/>
      <c r="H2015" s="268"/>
      <c r="I2015" s="269"/>
      <c r="J2015" s="268"/>
    </row>
    <row r="2016" spans="1:10" s="289" customFormat="1" ht="24" x14ac:dyDescent="0.55000000000000004">
      <c r="A2016" s="270" t="s">
        <v>339</v>
      </c>
      <c r="B2016" s="271" t="s">
        <v>469</v>
      </c>
      <c r="C2016" s="271"/>
      <c r="D2016" s="271"/>
      <c r="E2016" s="271"/>
      <c r="F2016" s="272"/>
      <c r="G2016" s="273">
        <v>431002</v>
      </c>
      <c r="H2016" s="274">
        <v>4750000</v>
      </c>
      <c r="I2016" s="275">
        <f>976141+976141</f>
        <v>1952282</v>
      </c>
      <c r="J2016" s="274"/>
    </row>
    <row r="2017" spans="1:10" s="289" customFormat="1" ht="24" x14ac:dyDescent="0.55000000000000004">
      <c r="A2017" s="397"/>
      <c r="B2017" s="271" t="s">
        <v>470</v>
      </c>
      <c r="C2017" s="271"/>
      <c r="D2017" s="271"/>
      <c r="E2017" s="392"/>
      <c r="F2017" s="398"/>
      <c r="G2017" s="298"/>
      <c r="H2017" s="402"/>
      <c r="I2017" s="402"/>
      <c r="J2017" s="402"/>
    </row>
    <row r="2018" spans="1:10" s="289" customFormat="1" ht="24" x14ac:dyDescent="0.55000000000000004">
      <c r="A2018" s="397"/>
      <c r="B2018" s="271" t="s">
        <v>483</v>
      </c>
      <c r="C2018" s="271"/>
      <c r="D2018" s="392"/>
      <c r="E2018" s="392"/>
      <c r="F2018" s="398"/>
      <c r="G2018" s="298"/>
      <c r="H2018" s="402"/>
      <c r="I2018" s="407">
        <f>69514+158955+135460+100272</f>
        <v>464201</v>
      </c>
      <c r="J2018" s="407"/>
    </row>
    <row r="2019" spans="1:10" s="289" customFormat="1" ht="24" x14ac:dyDescent="0.55000000000000004">
      <c r="A2019" s="397"/>
      <c r="B2019" s="271" t="s">
        <v>481</v>
      </c>
      <c r="C2019" s="271"/>
      <c r="D2019" s="392"/>
      <c r="E2019" s="392"/>
      <c r="F2019" s="398"/>
      <c r="G2019" s="298"/>
      <c r="H2019" s="402"/>
      <c r="I2019" s="407">
        <f>244000+244000+316000+228360</f>
        <v>1032360</v>
      </c>
      <c r="J2019" s="407"/>
    </row>
    <row r="2020" spans="1:10" s="289" customFormat="1" ht="24" x14ac:dyDescent="0.55000000000000004">
      <c r="A2020" s="397"/>
      <c r="B2020" s="271" t="s">
        <v>487</v>
      </c>
      <c r="C2020" s="271"/>
      <c r="D2020" s="271"/>
      <c r="E2020" s="271"/>
      <c r="F2020" s="272"/>
      <c r="G2020" s="298"/>
      <c r="H2020" s="274"/>
      <c r="I2020" s="275">
        <v>8000</v>
      </c>
      <c r="J2020" s="274"/>
    </row>
    <row r="2021" spans="1:10" s="289" customFormat="1" ht="24" x14ac:dyDescent="0.55000000000000004">
      <c r="A2021" s="397"/>
      <c r="B2021" s="291" t="s">
        <v>486</v>
      </c>
      <c r="C2021" s="291"/>
      <c r="D2021" s="291"/>
      <c r="E2021" s="265"/>
      <c r="F2021" s="266"/>
      <c r="G2021" s="402"/>
      <c r="H2021" s="274"/>
      <c r="I2021" s="275">
        <f>52500+4658</f>
        <v>57158</v>
      </c>
      <c r="J2021" s="274"/>
    </row>
    <row r="2022" spans="1:10" s="289" customFormat="1" ht="24" x14ac:dyDescent="0.55000000000000004">
      <c r="A2022" s="397"/>
      <c r="B2022" s="271" t="s">
        <v>482</v>
      </c>
      <c r="C2022" s="271"/>
      <c r="D2022" s="271"/>
      <c r="E2022" s="392"/>
      <c r="F2022" s="398"/>
      <c r="G2022" s="402"/>
      <c r="H2022" s="274"/>
      <c r="I2022" s="275">
        <f>7500+7500+15000</f>
        <v>30000</v>
      </c>
      <c r="J2022" s="274"/>
    </row>
    <row r="2023" spans="1:10" s="289" customFormat="1" ht="24" x14ac:dyDescent="0.55000000000000004">
      <c r="A2023" s="397"/>
      <c r="B2023" s="392"/>
      <c r="C2023" s="392"/>
      <c r="D2023" s="392"/>
      <c r="E2023" s="392"/>
      <c r="F2023" s="398"/>
      <c r="G2023" s="402"/>
      <c r="H2023" s="274"/>
      <c r="I2023" s="275"/>
      <c r="J2023" s="274"/>
    </row>
    <row r="2024" spans="1:10" s="289" customFormat="1" ht="24" x14ac:dyDescent="0.55000000000000004">
      <c r="A2024" s="397"/>
      <c r="B2024" s="392"/>
      <c r="C2024" s="392"/>
      <c r="D2024" s="392"/>
      <c r="E2024" s="392"/>
      <c r="F2024" s="398"/>
      <c r="G2024" s="402"/>
      <c r="H2024" s="303"/>
      <c r="I2024" s="399"/>
      <c r="J2024" s="303"/>
    </row>
    <row r="2025" spans="1:10" s="289" customFormat="1" ht="24" x14ac:dyDescent="0.55000000000000004">
      <c r="A2025" s="305"/>
      <c r="B2025" s="306"/>
      <c r="C2025" s="306"/>
      <c r="D2025" s="306"/>
      <c r="E2025" s="847" t="s">
        <v>151</v>
      </c>
      <c r="F2025" s="848"/>
      <c r="G2025" s="307"/>
      <c r="H2025" s="299">
        <f>SUM(H2016)</f>
        <v>4750000</v>
      </c>
      <c r="I2025" s="299">
        <f>SUM(I2016:I2024)</f>
        <v>3544001</v>
      </c>
      <c r="J2025" s="299">
        <f>SUM(J2016:J2024)</f>
        <v>0</v>
      </c>
    </row>
    <row r="2026" spans="1:10" s="289" customFormat="1" ht="28.5" customHeight="1" thickBot="1" x14ac:dyDescent="0.6">
      <c r="A2026" s="464"/>
      <c r="B2026" s="461"/>
      <c r="C2026" s="461"/>
      <c r="D2026" s="461"/>
      <c r="E2026" s="462" t="s">
        <v>612</v>
      </c>
      <c r="F2026" s="463"/>
      <c r="G2026" s="463"/>
      <c r="H2026" s="309">
        <f>+H1943+H1967+H1978+H1982+H1986+H1990+H2003+H2025</f>
        <v>22000000</v>
      </c>
      <c r="I2026" s="309">
        <f>+I1943+I1967+I1978+I1982+I1986+I1990+I2003+I2025</f>
        <v>21905951</v>
      </c>
      <c r="J2026" s="309">
        <f>+J1943+J1967+J1978+J1982+J1986+J1990+J2003+J2025</f>
        <v>1500720.1700000002</v>
      </c>
    </row>
    <row r="2027" spans="1:10" ht="24.75" thickTop="1" x14ac:dyDescent="0.55000000000000004">
      <c r="A2027" s="111"/>
      <c r="G2027" s="402"/>
      <c r="H2027" s="274"/>
      <c r="I2027" s="275"/>
      <c r="J2027" s="274"/>
    </row>
    <row r="2028" spans="1:10" ht="24" x14ac:dyDescent="0.55000000000000004">
      <c r="A2028" s="405" t="s">
        <v>477</v>
      </c>
      <c r="B2028" s="406"/>
      <c r="C2028" s="291"/>
      <c r="D2028" s="291"/>
      <c r="E2028" s="291"/>
      <c r="F2028" s="292"/>
      <c r="G2028" s="402"/>
      <c r="H2028" s="268"/>
      <c r="I2028" s="269"/>
      <c r="J2028" s="268"/>
    </row>
    <row r="2029" spans="1:10" ht="24" x14ac:dyDescent="0.55000000000000004">
      <c r="A2029" s="270" t="s">
        <v>339</v>
      </c>
      <c r="B2029" s="271" t="s">
        <v>476</v>
      </c>
      <c r="C2029" s="271"/>
      <c r="D2029" s="271"/>
      <c r="E2029" s="271"/>
      <c r="F2029" s="272"/>
      <c r="G2029" s="273"/>
      <c r="H2029" s="274"/>
      <c r="I2029" s="275"/>
      <c r="J2029" s="274"/>
    </row>
    <row r="2030" spans="1:10" ht="24" x14ac:dyDescent="0.55000000000000004">
      <c r="A2030" s="270"/>
      <c r="B2030" s="271" t="s">
        <v>484</v>
      </c>
      <c r="C2030" s="271"/>
      <c r="D2030" s="271"/>
      <c r="E2030" s="271"/>
      <c r="F2030" s="272"/>
      <c r="G2030" s="273"/>
      <c r="H2030" s="274"/>
      <c r="I2030" s="275">
        <f>1011900+674600+331700+657800+1206300+66500</f>
        <v>3948800</v>
      </c>
      <c r="J2030" s="274">
        <v>66500</v>
      </c>
    </row>
    <row r="2031" spans="1:10" ht="24" x14ac:dyDescent="0.55000000000000004">
      <c r="A2031" s="270"/>
      <c r="B2031" s="271" t="s">
        <v>485</v>
      </c>
      <c r="C2031" s="271"/>
      <c r="D2031" s="271"/>
      <c r="E2031" s="271"/>
      <c r="F2031" s="272"/>
      <c r="G2031" s="273"/>
      <c r="H2031" s="274"/>
      <c r="I2031" s="531">
        <f>136800+136800+45600+45600+164800+10400+6400</f>
        <v>546400</v>
      </c>
      <c r="J2031" s="274">
        <v>6400</v>
      </c>
    </row>
    <row r="2032" spans="1:10" ht="24" x14ac:dyDescent="0.55000000000000004">
      <c r="A2032" s="270"/>
      <c r="B2032" s="302" t="s">
        <v>488</v>
      </c>
      <c r="C2032" s="302"/>
      <c r="D2032" s="302"/>
      <c r="E2032" s="271"/>
      <c r="F2032" s="272"/>
      <c r="G2032" s="273"/>
      <c r="H2032" s="274"/>
      <c r="I2032" s="275"/>
      <c r="J2032" s="274"/>
    </row>
    <row r="2033" spans="1:10" ht="24" x14ac:dyDescent="0.55000000000000004">
      <c r="A2033" s="270"/>
      <c r="B2033" s="271" t="s">
        <v>478</v>
      </c>
      <c r="C2033" s="271"/>
      <c r="D2033" s="271"/>
      <c r="E2033" s="271"/>
      <c r="F2033" s="272"/>
      <c r="G2033" s="273"/>
      <c r="H2033" s="274"/>
      <c r="I2033" s="275">
        <f>50400+72000</f>
        <v>122400</v>
      </c>
      <c r="J2033" s="274"/>
    </row>
    <row r="2034" spans="1:10" ht="24" x14ac:dyDescent="0.55000000000000004">
      <c r="A2034" s="270"/>
      <c r="B2034" s="271" t="s">
        <v>479</v>
      </c>
      <c r="C2034" s="271"/>
      <c r="D2034" s="271"/>
      <c r="E2034" s="271"/>
      <c r="F2034" s="272"/>
      <c r="G2034" s="273"/>
      <c r="H2034" s="274"/>
      <c r="I2034" s="275">
        <f>118290+78860+17955+160150+80480+40240</f>
        <v>495975</v>
      </c>
      <c r="J2034" s="274">
        <v>40240</v>
      </c>
    </row>
    <row r="2035" spans="1:10" ht="24" x14ac:dyDescent="0.55000000000000004">
      <c r="A2035" s="270"/>
      <c r="B2035" s="271" t="s">
        <v>522</v>
      </c>
      <c r="C2035" s="271"/>
      <c r="D2035" s="271"/>
      <c r="E2035" s="271"/>
      <c r="F2035" s="272"/>
      <c r="G2035" s="273"/>
      <c r="H2035" s="274"/>
      <c r="I2035" s="275">
        <f>21800+68400+45600+91200+45600</f>
        <v>272600</v>
      </c>
      <c r="J2035" s="274"/>
    </row>
    <row r="2036" spans="1:10" ht="24" x14ac:dyDescent="0.55000000000000004">
      <c r="A2036" s="270"/>
      <c r="B2036" s="271" t="s">
        <v>521</v>
      </c>
      <c r="C2036" s="271"/>
      <c r="D2036" s="271"/>
      <c r="E2036" s="271"/>
      <c r="F2036" s="272"/>
      <c r="G2036" s="273"/>
      <c r="H2036" s="274"/>
      <c r="I2036" s="275">
        <f>1090+3420+2280+4560+2280</f>
        <v>13630</v>
      </c>
      <c r="J2036" s="274"/>
    </row>
    <row r="2037" spans="1:10" ht="24" x14ac:dyDescent="0.55000000000000004">
      <c r="A2037" s="270"/>
      <c r="B2037" s="271" t="s">
        <v>489</v>
      </c>
      <c r="C2037" s="271"/>
      <c r="D2037" s="271"/>
      <c r="E2037" s="271"/>
      <c r="F2037" s="272"/>
      <c r="G2037" s="273"/>
      <c r="H2037" s="274"/>
      <c r="I2037" s="275"/>
      <c r="J2037" s="274"/>
    </row>
    <row r="2038" spans="1:10" ht="24" x14ac:dyDescent="0.55000000000000004">
      <c r="A2038" s="270"/>
      <c r="B2038" s="271" t="s">
        <v>490</v>
      </c>
      <c r="C2038" s="271"/>
      <c r="D2038" s="271"/>
      <c r="E2038" s="271"/>
      <c r="F2038" s="272"/>
      <c r="G2038" s="273"/>
      <c r="H2038" s="274"/>
      <c r="I2038" s="275"/>
      <c r="J2038" s="274"/>
    </row>
    <row r="2039" spans="1:10" ht="24" x14ac:dyDescent="0.55000000000000004">
      <c r="A2039" s="270"/>
      <c r="B2039" s="271"/>
      <c r="C2039" s="271"/>
      <c r="D2039" s="271"/>
      <c r="E2039" s="271"/>
      <c r="F2039" s="272"/>
      <c r="G2039" s="273"/>
      <c r="H2039" s="274"/>
      <c r="I2039" s="275"/>
      <c r="J2039" s="274"/>
    </row>
    <row r="2040" spans="1:10" ht="24" x14ac:dyDescent="0.55000000000000004">
      <c r="A2040" s="270"/>
      <c r="B2040" s="271"/>
      <c r="C2040" s="271"/>
      <c r="D2040" s="271"/>
      <c r="E2040" s="271"/>
      <c r="F2040" s="272"/>
      <c r="G2040" s="273"/>
      <c r="H2040" s="274"/>
      <c r="I2040" s="275"/>
      <c r="J2040" s="274"/>
    </row>
    <row r="2041" spans="1:10" ht="24" x14ac:dyDescent="0.55000000000000004">
      <c r="A2041" s="305"/>
      <c r="B2041" s="306"/>
      <c r="C2041" s="306"/>
      <c r="D2041" s="306"/>
      <c r="E2041" s="847" t="s">
        <v>151</v>
      </c>
      <c r="F2041" s="848"/>
      <c r="G2041" s="307"/>
      <c r="H2041" s="299">
        <f>SUM(H2030:H2040)</f>
        <v>0</v>
      </c>
      <c r="I2041" s="299">
        <f>SUM(I2030:I2040)</f>
        <v>5399805</v>
      </c>
      <c r="J2041" s="299">
        <f>SUM(J2028:J2040)</f>
        <v>113140</v>
      </c>
    </row>
    <row r="2042" spans="1:10" ht="24.75" thickBot="1" x14ac:dyDescent="0.6">
      <c r="A2042" s="428"/>
      <c r="B2042" s="265"/>
      <c r="C2042" s="265"/>
      <c r="D2042" s="265"/>
      <c r="E2042" s="420" t="s">
        <v>506</v>
      </c>
      <c r="G2042" s="265"/>
      <c r="H2042" s="425">
        <f>SUM(H2041)</f>
        <v>0</v>
      </c>
      <c r="I2042" s="425">
        <f>SUM(I2041)</f>
        <v>5399805</v>
      </c>
      <c r="J2042" s="425">
        <f>SUM(J2041)</f>
        <v>113140</v>
      </c>
    </row>
    <row r="2043" spans="1:10" ht="24" x14ac:dyDescent="0.55000000000000004">
      <c r="A2043" s="421"/>
      <c r="B2043" s="422"/>
      <c r="C2043" s="422"/>
      <c r="D2043" s="422"/>
      <c r="E2043" s="423" t="s">
        <v>613</v>
      </c>
      <c r="F2043" s="161"/>
      <c r="G2043" s="424"/>
      <c r="H2043" s="426"/>
      <c r="I2043" s="426">
        <f>+I2042+I2026</f>
        <v>27305756</v>
      </c>
      <c r="J2043" s="427">
        <f>+J2042+J2026</f>
        <v>1613860.1700000002</v>
      </c>
    </row>
    <row r="2044" spans="1:10" s="289" customFormat="1" ht="24" x14ac:dyDescent="0.55000000000000004"/>
    <row r="2045" spans="1:10" s="312" customFormat="1" ht="24" x14ac:dyDescent="0.55000000000000004"/>
    <row r="2046" spans="1:10" s="312" customFormat="1" ht="24" x14ac:dyDescent="0.55000000000000004"/>
    <row r="2047" spans="1:10" s="312" customFormat="1" ht="24" x14ac:dyDescent="0.55000000000000004"/>
    <row r="2052" spans="1:10" s="289" customFormat="1" ht="24" x14ac:dyDescent="0.55000000000000004">
      <c r="A2052" s="605"/>
      <c r="B2052" s="605"/>
      <c r="C2052" s="605"/>
      <c r="D2052" s="605"/>
      <c r="F2052" s="605" t="s">
        <v>634</v>
      </c>
      <c r="H2052" s="258"/>
      <c r="I2052" s="258"/>
      <c r="J2052" s="258"/>
    </row>
    <row r="2056" spans="1:10" ht="23.25" customHeight="1" x14ac:dyDescent="0.55000000000000004">
      <c r="A2056" s="850"/>
      <c r="B2056" s="851"/>
      <c r="C2056" s="851"/>
      <c r="D2056" s="851"/>
      <c r="E2056" s="851"/>
      <c r="F2056" s="852"/>
      <c r="G2056" s="411" t="s">
        <v>78</v>
      </c>
      <c r="H2056" s="411" t="s">
        <v>6</v>
      </c>
      <c r="I2056" s="261" t="s">
        <v>335</v>
      </c>
      <c r="J2056" s="412" t="s">
        <v>336</v>
      </c>
    </row>
    <row r="2057" spans="1:10" ht="24" x14ac:dyDescent="0.55000000000000004">
      <c r="A2057" s="304" t="s">
        <v>630</v>
      </c>
      <c r="B2057" s="302"/>
      <c r="C2057" s="271"/>
      <c r="D2057" s="271"/>
      <c r="E2057" s="271"/>
      <c r="F2057" s="272"/>
      <c r="G2057" s="273"/>
      <c r="H2057" s="274"/>
      <c r="I2057" s="275"/>
      <c r="J2057" s="274"/>
    </row>
    <row r="2058" spans="1:10" ht="24" x14ac:dyDescent="0.55000000000000004">
      <c r="A2058" s="270"/>
      <c r="B2058" s="271" t="s">
        <v>666</v>
      </c>
      <c r="C2058" s="271"/>
      <c r="D2058" s="271"/>
      <c r="E2058" s="271"/>
      <c r="F2058" s="272"/>
      <c r="G2058" s="273"/>
      <c r="H2058" s="274"/>
      <c r="I2058" s="275">
        <v>4282000</v>
      </c>
      <c r="J2058" s="274"/>
    </row>
    <row r="2059" spans="1:10" ht="24" x14ac:dyDescent="0.55000000000000004">
      <c r="A2059" s="270"/>
      <c r="B2059" s="271" t="s">
        <v>631</v>
      </c>
      <c r="C2059" s="271"/>
      <c r="D2059" s="271"/>
      <c r="E2059" s="271"/>
      <c r="F2059" s="272"/>
      <c r="G2059" s="273"/>
      <c r="H2059" s="274"/>
      <c r="I2059" s="275">
        <f>2315425.64+1074600</f>
        <v>3390025.64</v>
      </c>
      <c r="J2059" s="274"/>
    </row>
    <row r="2060" spans="1:10" ht="24" x14ac:dyDescent="0.55000000000000004">
      <c r="A2060" s="270"/>
      <c r="B2060" s="271" t="s">
        <v>632</v>
      </c>
      <c r="C2060" s="271"/>
      <c r="D2060" s="271"/>
      <c r="E2060" s="271"/>
      <c r="F2060" s="272"/>
      <c r="G2060" s="273"/>
      <c r="H2060" s="274"/>
      <c r="I2060" s="275"/>
      <c r="J2060" s="274"/>
    </row>
    <row r="2061" spans="1:10" ht="24" x14ac:dyDescent="0.55000000000000004">
      <c r="A2061" s="270"/>
      <c r="B2061" s="271" t="s">
        <v>631</v>
      </c>
      <c r="C2061" s="271"/>
      <c r="D2061" s="271"/>
      <c r="E2061" s="271"/>
      <c r="F2061" s="272"/>
      <c r="G2061" s="273"/>
      <c r="H2061" s="274"/>
      <c r="I2061" s="275">
        <f>1061725.64+1253700</f>
        <v>2315425.6399999997</v>
      </c>
      <c r="J2061" s="274"/>
    </row>
    <row r="2062" spans="1:10" ht="24" x14ac:dyDescent="0.55000000000000004">
      <c r="A2062" s="270"/>
      <c r="B2062" s="271" t="s">
        <v>635</v>
      </c>
      <c r="C2062" s="271"/>
      <c r="D2062" s="271"/>
      <c r="E2062" s="271"/>
      <c r="F2062" s="272"/>
      <c r="G2062" s="273"/>
      <c r="H2062" s="274"/>
      <c r="I2062" s="275"/>
      <c r="J2062" s="274"/>
    </row>
    <row r="2063" spans="1:10" ht="24" x14ac:dyDescent="0.55000000000000004">
      <c r="A2063" s="270"/>
      <c r="B2063" s="271"/>
      <c r="C2063" s="271"/>
      <c r="D2063" s="271"/>
      <c r="E2063" s="271"/>
      <c r="F2063" s="272"/>
      <c r="G2063" s="273"/>
      <c r="H2063" s="274"/>
      <c r="I2063" s="275"/>
      <c r="J2063" s="274"/>
    </row>
    <row r="2064" spans="1:10" ht="24" x14ac:dyDescent="0.55000000000000004">
      <c r="A2064" s="270"/>
      <c r="B2064" s="271"/>
      <c r="C2064" s="271"/>
      <c r="D2064" s="271"/>
      <c r="E2064" s="271"/>
      <c r="F2064" s="272"/>
      <c r="G2064" s="273"/>
      <c r="H2064" s="274"/>
      <c r="I2064" s="275"/>
      <c r="J2064" s="274"/>
    </row>
    <row r="2065" spans="1:10" ht="24" x14ac:dyDescent="0.55000000000000004">
      <c r="A2065" s="270"/>
      <c r="B2065" s="271"/>
      <c r="C2065" s="271"/>
      <c r="D2065" s="271"/>
      <c r="E2065" s="271"/>
      <c r="F2065" s="272"/>
      <c r="G2065" s="273"/>
      <c r="H2065" s="274"/>
      <c r="I2065" s="275"/>
      <c r="J2065" s="274"/>
    </row>
    <row r="2066" spans="1:10" ht="24" x14ac:dyDescent="0.55000000000000004">
      <c r="A2066" s="270"/>
      <c r="B2066" s="271"/>
      <c r="C2066" s="271"/>
      <c r="D2066" s="271"/>
      <c r="E2066" s="271"/>
      <c r="F2066" s="272"/>
      <c r="G2066" s="273"/>
      <c r="H2066" s="274"/>
      <c r="I2066" s="275"/>
      <c r="J2066" s="274"/>
    </row>
    <row r="2067" spans="1:10" ht="24" x14ac:dyDescent="0.55000000000000004">
      <c r="A2067" s="270"/>
      <c r="B2067" s="271"/>
      <c r="C2067" s="271"/>
      <c r="D2067" s="271"/>
      <c r="E2067" s="271"/>
      <c r="F2067" s="272"/>
      <c r="G2067" s="273"/>
      <c r="H2067" s="274"/>
      <c r="I2067" s="275"/>
      <c r="J2067" s="274"/>
    </row>
    <row r="2068" spans="1:10" ht="24" x14ac:dyDescent="0.55000000000000004">
      <c r="A2068" s="270"/>
      <c r="B2068" s="271"/>
      <c r="C2068" s="271"/>
      <c r="D2068" s="271"/>
      <c r="E2068" s="271"/>
      <c r="F2068" s="272"/>
      <c r="G2068" s="273"/>
      <c r="H2068" s="274"/>
      <c r="I2068" s="275"/>
      <c r="J2068" s="274"/>
    </row>
    <row r="2069" spans="1:10" ht="24" customHeight="1" x14ac:dyDescent="0.55000000000000004">
      <c r="A2069" s="305"/>
      <c r="B2069" s="306"/>
      <c r="C2069" s="306"/>
      <c r="D2069" s="306"/>
      <c r="E2069" s="847" t="s">
        <v>151</v>
      </c>
      <c r="F2069" s="848"/>
      <c r="G2069" s="307"/>
      <c r="H2069" s="299">
        <f>SUM(H2059:H2068)</f>
        <v>0</v>
      </c>
      <c r="I2069" s="299">
        <f>SUM(I2058:I2068)</f>
        <v>9987451.2800000012</v>
      </c>
      <c r="J2069" s="299">
        <f>SUM(J2057:J2068)</f>
        <v>0</v>
      </c>
    </row>
    <row r="2070" spans="1:10" ht="27" customHeight="1" x14ac:dyDescent="0.55000000000000004">
      <c r="A2070" s="421"/>
      <c r="B2070" s="422"/>
      <c r="C2070" s="422"/>
      <c r="D2070" s="422"/>
      <c r="E2070" s="423" t="s">
        <v>613</v>
      </c>
      <c r="F2070" s="161"/>
      <c r="G2070" s="424"/>
      <c r="H2070" s="426"/>
      <c r="I2070" s="426">
        <f>+I2043+I2069</f>
        <v>37293207.280000001</v>
      </c>
      <c r="J2070" s="427">
        <f>+J2043+J2069</f>
        <v>1613860.1700000002</v>
      </c>
    </row>
    <row r="2080" spans="1:10" ht="24" x14ac:dyDescent="0.55000000000000004">
      <c r="A2080" s="400" t="s">
        <v>471</v>
      </c>
      <c r="B2080" s="400"/>
      <c r="C2080" s="400"/>
      <c r="D2080" s="400"/>
      <c r="E2080" s="400"/>
      <c r="F2080" s="400" t="s">
        <v>626</v>
      </c>
      <c r="G2080" s="401"/>
      <c r="H2080" s="401"/>
      <c r="I2080" s="258" t="s">
        <v>474</v>
      </c>
      <c r="J2080" s="258"/>
    </row>
    <row r="2081" spans="1:10" ht="24" x14ac:dyDescent="0.55000000000000004">
      <c r="A2081" s="400" t="s">
        <v>472</v>
      </c>
      <c r="B2081" s="400"/>
      <c r="C2081" s="400"/>
      <c r="D2081" s="400"/>
      <c r="E2081" s="400"/>
      <c r="F2081" s="400" t="s">
        <v>510</v>
      </c>
      <c r="G2081" s="401"/>
      <c r="H2081" s="401"/>
      <c r="I2081" s="258" t="s">
        <v>473</v>
      </c>
      <c r="J2081" s="258"/>
    </row>
    <row r="2082" spans="1:10" ht="24" x14ac:dyDescent="0.55000000000000004">
      <c r="A2082" s="312"/>
      <c r="B2082" s="312"/>
      <c r="C2082" s="312"/>
      <c r="D2082" s="312"/>
      <c r="E2082" s="312"/>
      <c r="F2082" s="400" t="s">
        <v>475</v>
      </c>
      <c r="G2082" s="401"/>
      <c r="H2082" s="401"/>
      <c r="I2082" s="313"/>
      <c r="J2082" s="313"/>
    </row>
  </sheetData>
  <mergeCells count="206">
    <mergeCell ref="E1131:F1131"/>
    <mergeCell ref="A1133:D1133"/>
    <mergeCell ref="A1140:F1140"/>
    <mergeCell ref="E1151:F1151"/>
    <mergeCell ref="E1167:F1167"/>
    <mergeCell ref="A1059:J1059"/>
    <mergeCell ref="A1060:J1060"/>
    <mergeCell ref="A1061:J1061"/>
    <mergeCell ref="A1062:F1062"/>
    <mergeCell ref="E1094:F1094"/>
    <mergeCell ref="A1099:J1099"/>
    <mergeCell ref="A1101:F1101"/>
    <mergeCell ref="E1109:F1109"/>
    <mergeCell ref="E1130:F1130"/>
    <mergeCell ref="A966:D966"/>
    <mergeCell ref="A973:F973"/>
    <mergeCell ref="E984:F984"/>
    <mergeCell ref="E1000:F1000"/>
    <mergeCell ref="A932:J932"/>
    <mergeCell ref="A934:F934"/>
    <mergeCell ref="E942:F942"/>
    <mergeCell ref="E963:F963"/>
    <mergeCell ref="E964:F964"/>
    <mergeCell ref="A892:J892"/>
    <mergeCell ref="A893:J893"/>
    <mergeCell ref="A894:J894"/>
    <mergeCell ref="A895:F895"/>
    <mergeCell ref="E927:F927"/>
    <mergeCell ref="A776:J776"/>
    <mergeCell ref="A777:J777"/>
    <mergeCell ref="A778:F778"/>
    <mergeCell ref="E766:F766"/>
    <mergeCell ref="E847:F847"/>
    <mergeCell ref="A849:D849"/>
    <mergeCell ref="A856:F856"/>
    <mergeCell ref="E867:F867"/>
    <mergeCell ref="E883:F883"/>
    <mergeCell ref="E810:F810"/>
    <mergeCell ref="A815:J815"/>
    <mergeCell ref="A817:F817"/>
    <mergeCell ref="E825:F825"/>
    <mergeCell ref="E846:F846"/>
    <mergeCell ref="A498:J498"/>
    <mergeCell ref="A499:F499"/>
    <mergeCell ref="E531:F531"/>
    <mergeCell ref="A536:J536"/>
    <mergeCell ref="A538:F538"/>
    <mergeCell ref="E546:F546"/>
    <mergeCell ref="E567:F567"/>
    <mergeCell ref="E568:F568"/>
    <mergeCell ref="E637:F637"/>
    <mergeCell ref="A570:D570"/>
    <mergeCell ref="A578:F578"/>
    <mergeCell ref="E590:F590"/>
    <mergeCell ref="A608:D608"/>
    <mergeCell ref="A621:F621"/>
    <mergeCell ref="A453:F453"/>
    <mergeCell ref="E400:F400"/>
    <mergeCell ref="A402:D402"/>
    <mergeCell ref="A410:F410"/>
    <mergeCell ref="E422:F422"/>
    <mergeCell ref="A440:D440"/>
    <mergeCell ref="E469:F469"/>
    <mergeCell ref="A496:J496"/>
    <mergeCell ref="A497:J497"/>
    <mergeCell ref="A277:D277"/>
    <mergeCell ref="A290:F290"/>
    <mergeCell ref="E306:F306"/>
    <mergeCell ref="A126:F126"/>
    <mergeCell ref="E140:F140"/>
    <mergeCell ref="A165:J165"/>
    <mergeCell ref="A166:J166"/>
    <mergeCell ref="A167:J167"/>
    <mergeCell ref="A205:J205"/>
    <mergeCell ref="E215:F215"/>
    <mergeCell ref="E237:F237"/>
    <mergeCell ref="A239:D239"/>
    <mergeCell ref="A247:F247"/>
    <mergeCell ref="E259:F259"/>
    <mergeCell ref="A328:J328"/>
    <mergeCell ref="A329:J329"/>
    <mergeCell ref="A330:J330"/>
    <mergeCell ref="A331:F331"/>
    <mergeCell ref="E363:F363"/>
    <mergeCell ref="A368:J368"/>
    <mergeCell ref="A370:F370"/>
    <mergeCell ref="E378:F378"/>
    <mergeCell ref="E399:F399"/>
    <mergeCell ref="A1:J1"/>
    <mergeCell ref="A2:J2"/>
    <mergeCell ref="A168:F168"/>
    <mergeCell ref="E200:F200"/>
    <mergeCell ref="E236:F236"/>
    <mergeCell ref="A84:F84"/>
    <mergeCell ref="E96:F96"/>
    <mergeCell ref="A75:D75"/>
    <mergeCell ref="A4:F4"/>
    <mergeCell ref="E36:F36"/>
    <mergeCell ref="A41:J41"/>
    <mergeCell ref="E51:F51"/>
    <mergeCell ref="A43:F43"/>
    <mergeCell ref="E72:F72"/>
    <mergeCell ref="E73:F73"/>
    <mergeCell ref="A207:F207"/>
    <mergeCell ref="A3:J3"/>
    <mergeCell ref="A114:D114"/>
    <mergeCell ref="A660:J660"/>
    <mergeCell ref="A661:F661"/>
    <mergeCell ref="E693:F693"/>
    <mergeCell ref="A732:D732"/>
    <mergeCell ref="A739:F739"/>
    <mergeCell ref="E750:F750"/>
    <mergeCell ref="A775:J775"/>
    <mergeCell ref="A698:J698"/>
    <mergeCell ref="A700:F700"/>
    <mergeCell ref="E708:F708"/>
    <mergeCell ref="E729:F729"/>
    <mergeCell ref="E730:F730"/>
    <mergeCell ref="A1347:F1347"/>
    <mergeCell ref="E1360:F1360"/>
    <mergeCell ref="A1016:F1016"/>
    <mergeCell ref="E1029:F1029"/>
    <mergeCell ref="A1180:F1180"/>
    <mergeCell ref="E1193:F1193"/>
    <mergeCell ref="E150:F150"/>
    <mergeCell ref="E316:F316"/>
    <mergeCell ref="E1295:F1295"/>
    <mergeCell ref="A1297:D1297"/>
    <mergeCell ref="A1305:F1305"/>
    <mergeCell ref="E1316:F1316"/>
    <mergeCell ref="E1332:F1332"/>
    <mergeCell ref="A1223:J1223"/>
    <mergeCell ref="A1224:J1224"/>
    <mergeCell ref="A1225:J1225"/>
    <mergeCell ref="A1226:F1226"/>
    <mergeCell ref="E1258:F1258"/>
    <mergeCell ref="A1263:J1263"/>
    <mergeCell ref="A1265:F1265"/>
    <mergeCell ref="E1273:F1273"/>
    <mergeCell ref="E1294:F1294"/>
    <mergeCell ref="A658:J658"/>
    <mergeCell ref="A659:J659"/>
    <mergeCell ref="E1460:F1460"/>
    <mergeCell ref="A1462:D1462"/>
    <mergeCell ref="A1470:F1470"/>
    <mergeCell ref="E1481:F1481"/>
    <mergeCell ref="E1497:F1497"/>
    <mergeCell ref="A1512:F1512"/>
    <mergeCell ref="E1525:F1525"/>
    <mergeCell ref="A1388:J1388"/>
    <mergeCell ref="A1389:J1389"/>
    <mergeCell ref="A1390:J1390"/>
    <mergeCell ref="A1391:F1391"/>
    <mergeCell ref="E1423:F1423"/>
    <mergeCell ref="A1428:J1428"/>
    <mergeCell ref="A1430:F1430"/>
    <mergeCell ref="E1438:F1438"/>
    <mergeCell ref="E1459:F1459"/>
    <mergeCell ref="E1617:F1617"/>
    <mergeCell ref="A1619:D1619"/>
    <mergeCell ref="A1627:F1627"/>
    <mergeCell ref="E1638:F1638"/>
    <mergeCell ref="E1654:F1654"/>
    <mergeCell ref="A1669:F1669"/>
    <mergeCell ref="E1682:F1682"/>
    <mergeCell ref="A1545:J1545"/>
    <mergeCell ref="A1546:J1546"/>
    <mergeCell ref="A1547:J1547"/>
    <mergeCell ref="A1548:F1548"/>
    <mergeCell ref="E1580:F1580"/>
    <mergeCell ref="A1585:J1585"/>
    <mergeCell ref="A1587:F1587"/>
    <mergeCell ref="E1595:F1595"/>
    <mergeCell ref="E1616:F1616"/>
    <mergeCell ref="E1782:F1782"/>
    <mergeCell ref="A1784:D1784"/>
    <mergeCell ref="A1792:F1792"/>
    <mergeCell ref="E1803:F1803"/>
    <mergeCell ref="E1819:F1819"/>
    <mergeCell ref="A1841:F1841"/>
    <mergeCell ref="E1854:F1854"/>
    <mergeCell ref="A1710:J1710"/>
    <mergeCell ref="A1711:J1711"/>
    <mergeCell ref="A1712:J1712"/>
    <mergeCell ref="A1713:F1713"/>
    <mergeCell ref="E1745:F1745"/>
    <mergeCell ref="A1750:J1750"/>
    <mergeCell ref="A1752:F1752"/>
    <mergeCell ref="E1760:F1760"/>
    <mergeCell ref="E1781:F1781"/>
    <mergeCell ref="E2004:F2004"/>
    <mergeCell ref="A2006:D2006"/>
    <mergeCell ref="A2014:F2014"/>
    <mergeCell ref="E2025:F2025"/>
    <mergeCell ref="E2041:F2041"/>
    <mergeCell ref="A2056:F2056"/>
    <mergeCell ref="E2069:F2069"/>
    <mergeCell ref="A1932:J1932"/>
    <mergeCell ref="A1933:J1933"/>
    <mergeCell ref="A1934:J1934"/>
    <mergeCell ref="A1935:F1935"/>
    <mergeCell ref="E1967:F1967"/>
    <mergeCell ref="A1972:J1972"/>
    <mergeCell ref="A1974:F1974"/>
    <mergeCell ref="E1982:F1982"/>
    <mergeCell ref="E2003:F2003"/>
  </mergeCells>
  <pageMargins left="0.23622047244094491" right="0.23622047244094491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76"/>
  <sheetViews>
    <sheetView tabSelected="1" workbookViewId="0">
      <selection activeCell="I16" sqref="I16"/>
    </sheetView>
  </sheetViews>
  <sheetFormatPr defaultRowHeight="14.25" x14ac:dyDescent="0.2"/>
  <cols>
    <col min="1" max="1" width="23.125" customWidth="1"/>
    <col min="2" max="2" width="3.875" customWidth="1"/>
    <col min="3" max="6" width="6.375" customWidth="1"/>
    <col min="7" max="8" width="5.75" customWidth="1"/>
    <col min="9" max="9" width="5.125" customWidth="1"/>
    <col min="10" max="10" width="5.625" customWidth="1"/>
    <col min="11" max="11" width="6.125" customWidth="1"/>
    <col min="12" max="12" width="5.75" customWidth="1"/>
    <col min="13" max="13" width="5.625" customWidth="1"/>
    <col min="14" max="14" width="5.5" customWidth="1"/>
    <col min="15" max="15" width="5.875" customWidth="1"/>
    <col min="16" max="16" width="5.5" customWidth="1"/>
    <col min="17" max="17" width="5.75" customWidth="1"/>
    <col min="18" max="18" width="6.125" customWidth="1"/>
    <col min="19" max="19" width="6" customWidth="1"/>
    <col min="20" max="20" width="6.25" customWidth="1"/>
    <col min="21" max="21" width="5.75" customWidth="1"/>
    <col min="22" max="22" width="6" customWidth="1"/>
    <col min="23" max="23" width="5.375" customWidth="1"/>
    <col min="24" max="24" width="5.875" customWidth="1"/>
    <col min="25" max="25" width="6.125" customWidth="1"/>
  </cols>
  <sheetData>
    <row r="1" spans="1:27" ht="23.25" x14ac:dyDescent="0.5">
      <c r="A1" s="883" t="s">
        <v>76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</row>
    <row r="2" spans="1:27" ht="23.25" x14ac:dyDescent="0.5">
      <c r="A2" s="883" t="s">
        <v>792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</row>
    <row r="3" spans="1:27" ht="23.25" x14ac:dyDescent="0.5">
      <c r="A3" s="883" t="s">
        <v>793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</row>
    <row r="4" spans="1:27" s="643" customFormat="1" ht="10.5" x14ac:dyDescent="0.25">
      <c r="A4" s="638"/>
      <c r="B4" s="639"/>
      <c r="C4" s="884" t="s">
        <v>6</v>
      </c>
      <c r="D4" s="884" t="s">
        <v>794</v>
      </c>
      <c r="E4" s="640"/>
      <c r="F4" s="641" t="s">
        <v>41</v>
      </c>
      <c r="G4" s="875" t="s">
        <v>110</v>
      </c>
      <c r="H4" s="876"/>
      <c r="I4" s="872" t="s">
        <v>111</v>
      </c>
      <c r="J4" s="887"/>
      <c r="K4" s="874" t="s">
        <v>112</v>
      </c>
      <c r="L4" s="873"/>
      <c r="M4" s="888" t="s">
        <v>113</v>
      </c>
      <c r="N4" s="889"/>
      <c r="O4" s="642" t="s">
        <v>113</v>
      </c>
      <c r="P4" s="872" t="s">
        <v>113</v>
      </c>
      <c r="Q4" s="873"/>
      <c r="R4" s="874" t="s">
        <v>114</v>
      </c>
      <c r="S4" s="875"/>
      <c r="T4" s="874" t="s">
        <v>115</v>
      </c>
      <c r="U4" s="875"/>
      <c r="V4" s="876"/>
      <c r="W4" s="874" t="s">
        <v>116</v>
      </c>
      <c r="X4" s="873"/>
      <c r="Y4" s="642" t="s">
        <v>113</v>
      </c>
    </row>
    <row r="5" spans="1:27" s="643" customFormat="1" ht="16.5" customHeight="1" x14ac:dyDescent="0.25">
      <c r="A5" s="644"/>
      <c r="B5" s="645"/>
      <c r="C5" s="885"/>
      <c r="D5" s="885"/>
      <c r="E5" s="646"/>
      <c r="F5" s="647"/>
      <c r="G5" s="865"/>
      <c r="H5" s="866"/>
      <c r="I5" s="877" t="s">
        <v>117</v>
      </c>
      <c r="J5" s="878"/>
      <c r="K5" s="648"/>
      <c r="L5" s="649"/>
      <c r="M5" s="879" t="s">
        <v>118</v>
      </c>
      <c r="N5" s="880"/>
      <c r="O5" s="650" t="s">
        <v>119</v>
      </c>
      <c r="P5" s="877" t="s">
        <v>120</v>
      </c>
      <c r="Q5" s="881"/>
      <c r="R5" s="644"/>
      <c r="S5" s="651"/>
      <c r="T5" s="879" t="s">
        <v>121</v>
      </c>
      <c r="U5" s="882"/>
      <c r="V5" s="880"/>
      <c r="W5" s="644" t="s">
        <v>13</v>
      </c>
      <c r="X5" s="649"/>
      <c r="Y5" s="652" t="s">
        <v>122</v>
      </c>
    </row>
    <row r="6" spans="1:27" s="643" customFormat="1" ht="16.5" customHeight="1" x14ac:dyDescent="0.25">
      <c r="A6" s="644" t="s">
        <v>123</v>
      </c>
      <c r="B6" s="645"/>
      <c r="C6" s="885"/>
      <c r="D6" s="885"/>
      <c r="E6" s="653" t="s">
        <v>795</v>
      </c>
      <c r="F6" s="654" t="s">
        <v>124</v>
      </c>
      <c r="G6" s="865" t="s">
        <v>125</v>
      </c>
      <c r="H6" s="866"/>
      <c r="I6" s="655"/>
      <c r="J6" s="656" t="s">
        <v>126</v>
      </c>
      <c r="K6" s="863" t="s">
        <v>127</v>
      </c>
      <c r="L6" s="864"/>
      <c r="M6" s="867" t="s">
        <v>128</v>
      </c>
      <c r="N6" s="868"/>
      <c r="O6" s="654"/>
      <c r="P6" s="869" t="s">
        <v>129</v>
      </c>
      <c r="Q6" s="864"/>
      <c r="R6" s="863" t="s">
        <v>130</v>
      </c>
      <c r="S6" s="870"/>
      <c r="T6" s="863" t="s">
        <v>131</v>
      </c>
      <c r="U6" s="870"/>
      <c r="V6" s="871"/>
      <c r="W6" s="863" t="s">
        <v>132</v>
      </c>
      <c r="X6" s="864"/>
      <c r="Y6" s="654" t="s">
        <v>133</v>
      </c>
    </row>
    <row r="7" spans="1:27" s="643" customFormat="1" ht="15" customHeight="1" x14ac:dyDescent="0.25">
      <c r="A7" s="657"/>
      <c r="B7" s="658"/>
      <c r="C7" s="885"/>
      <c r="D7" s="885"/>
      <c r="E7" s="653" t="s">
        <v>6</v>
      </c>
      <c r="F7" s="641" t="s">
        <v>134</v>
      </c>
      <c r="G7" s="641" t="s">
        <v>135</v>
      </c>
      <c r="H7" s="641" t="s">
        <v>135</v>
      </c>
      <c r="I7" s="659" t="s">
        <v>136</v>
      </c>
      <c r="J7" s="659" t="s">
        <v>137</v>
      </c>
      <c r="K7" s="660" t="s">
        <v>138</v>
      </c>
      <c r="L7" s="641" t="s">
        <v>139</v>
      </c>
      <c r="M7" s="641" t="s">
        <v>140</v>
      </c>
      <c r="N7" s="641" t="s">
        <v>141</v>
      </c>
      <c r="O7" s="641" t="s">
        <v>142</v>
      </c>
      <c r="P7" s="660" t="s">
        <v>138</v>
      </c>
      <c r="Q7" s="660" t="s">
        <v>143</v>
      </c>
      <c r="R7" s="641" t="s">
        <v>138</v>
      </c>
      <c r="S7" s="641" t="s">
        <v>144</v>
      </c>
      <c r="T7" s="641" t="s">
        <v>145</v>
      </c>
      <c r="U7" s="650" t="s">
        <v>146</v>
      </c>
      <c r="V7" s="661" t="s">
        <v>147</v>
      </c>
      <c r="W7" s="662" t="s">
        <v>148</v>
      </c>
      <c r="X7" s="641" t="s">
        <v>149</v>
      </c>
      <c r="Y7" s="641" t="s">
        <v>150</v>
      </c>
    </row>
    <row r="8" spans="1:27" s="643" customFormat="1" ht="16.5" customHeight="1" x14ac:dyDescent="0.25">
      <c r="A8" s="644"/>
      <c r="B8" s="645"/>
      <c r="C8" s="885"/>
      <c r="D8" s="885"/>
      <c r="E8" s="646"/>
      <c r="F8" s="650"/>
      <c r="G8" s="650" t="s">
        <v>152</v>
      </c>
      <c r="H8" s="650" t="s">
        <v>153</v>
      </c>
      <c r="I8" s="663" t="s">
        <v>154</v>
      </c>
      <c r="J8" s="663" t="s">
        <v>155</v>
      </c>
      <c r="K8" s="664" t="s">
        <v>156</v>
      </c>
      <c r="L8" s="650" t="s">
        <v>157</v>
      </c>
      <c r="M8" s="650" t="s">
        <v>158</v>
      </c>
      <c r="N8" s="650" t="s">
        <v>159</v>
      </c>
      <c r="O8" s="650" t="s">
        <v>160</v>
      </c>
      <c r="P8" s="664" t="s">
        <v>161</v>
      </c>
      <c r="Q8" s="664" t="s">
        <v>162</v>
      </c>
      <c r="R8" s="650" t="s">
        <v>163</v>
      </c>
      <c r="S8" s="650" t="s">
        <v>164</v>
      </c>
      <c r="T8" s="650" t="s">
        <v>165</v>
      </c>
      <c r="U8" s="650" t="s">
        <v>166</v>
      </c>
      <c r="V8" s="661" t="s">
        <v>167</v>
      </c>
      <c r="W8" s="662" t="s">
        <v>168</v>
      </c>
      <c r="X8" s="650" t="s">
        <v>169</v>
      </c>
      <c r="Y8" s="650" t="s">
        <v>170</v>
      </c>
    </row>
    <row r="9" spans="1:27" s="643" customFormat="1" ht="16.5" customHeight="1" x14ac:dyDescent="0.25">
      <c r="A9" s="665"/>
      <c r="B9" s="666"/>
      <c r="C9" s="886"/>
      <c r="D9" s="886"/>
      <c r="E9" s="667"/>
      <c r="F9" s="654" t="s">
        <v>171</v>
      </c>
      <c r="G9" s="654" t="s">
        <v>172</v>
      </c>
      <c r="H9" s="654" t="s">
        <v>173</v>
      </c>
      <c r="I9" s="668" t="s">
        <v>174</v>
      </c>
      <c r="J9" s="668"/>
      <c r="K9" s="669" t="s">
        <v>175</v>
      </c>
      <c r="L9" s="654" t="s">
        <v>176</v>
      </c>
      <c r="M9" s="654"/>
      <c r="N9" s="670" t="s">
        <v>177</v>
      </c>
      <c r="O9" s="654" t="s">
        <v>178</v>
      </c>
      <c r="P9" s="669" t="s">
        <v>179</v>
      </c>
      <c r="Q9" s="669"/>
      <c r="R9" s="654" t="s">
        <v>180</v>
      </c>
      <c r="S9" s="654" t="s">
        <v>181</v>
      </c>
      <c r="T9" s="654" t="s">
        <v>182</v>
      </c>
      <c r="U9" s="670" t="s">
        <v>183</v>
      </c>
      <c r="V9" s="669" t="s">
        <v>184</v>
      </c>
      <c r="W9" s="654" t="s">
        <v>185</v>
      </c>
      <c r="X9" s="654" t="s">
        <v>186</v>
      </c>
      <c r="Y9" s="654" t="s">
        <v>187</v>
      </c>
      <c r="AA9" s="643">
        <v>1</v>
      </c>
    </row>
    <row r="10" spans="1:27" s="677" customFormat="1" ht="18" customHeight="1" x14ac:dyDescent="0.3">
      <c r="A10" s="671" t="s">
        <v>188</v>
      </c>
      <c r="B10" s="672"/>
      <c r="C10" s="673"/>
      <c r="D10" s="673"/>
      <c r="E10" s="673"/>
      <c r="F10" s="674"/>
      <c r="G10" s="674"/>
      <c r="H10" s="674"/>
      <c r="I10" s="674"/>
      <c r="J10" s="675"/>
      <c r="K10" s="675"/>
      <c r="L10" s="674"/>
      <c r="M10" s="674"/>
      <c r="N10" s="674"/>
      <c r="O10" s="674"/>
      <c r="P10" s="675"/>
      <c r="Q10" s="675"/>
      <c r="R10" s="674"/>
      <c r="S10" s="674"/>
      <c r="T10" s="674"/>
      <c r="U10" s="674"/>
      <c r="V10" s="675"/>
      <c r="W10" s="676"/>
      <c r="X10" s="676"/>
      <c r="Y10" s="676"/>
    </row>
    <row r="11" spans="1:27" s="677" customFormat="1" ht="19.5" customHeight="1" x14ac:dyDescent="0.3">
      <c r="A11" s="678" t="s">
        <v>263</v>
      </c>
      <c r="B11" s="679">
        <v>110300</v>
      </c>
      <c r="C11" s="680">
        <f>125800+2000</f>
        <v>127800</v>
      </c>
      <c r="D11" s="681">
        <f>+F11</f>
        <v>113618</v>
      </c>
      <c r="E11" s="682">
        <f>+C11-D11</f>
        <v>14182</v>
      </c>
      <c r="F11" s="681">
        <f>126208-12590</f>
        <v>113618</v>
      </c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</row>
    <row r="12" spans="1:27" s="677" customFormat="1" ht="19.5" customHeight="1" x14ac:dyDescent="0.3">
      <c r="A12" s="678" t="s">
        <v>264</v>
      </c>
      <c r="B12" s="679">
        <v>110900</v>
      </c>
      <c r="C12" s="680">
        <v>30000</v>
      </c>
      <c r="D12" s="681">
        <f t="shared" ref="D12:D15" si="0">+F12</f>
        <v>30000</v>
      </c>
      <c r="E12" s="682">
        <f>+C12-D12</f>
        <v>0</v>
      </c>
      <c r="F12" s="681">
        <v>30000</v>
      </c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0"/>
      <c r="X12" s="680"/>
      <c r="Y12" s="680"/>
    </row>
    <row r="13" spans="1:27" s="677" customFormat="1" ht="18.75" customHeight="1" x14ac:dyDescent="0.3">
      <c r="A13" s="678" t="s">
        <v>265</v>
      </c>
      <c r="B13" s="679">
        <v>111000</v>
      </c>
      <c r="C13" s="680">
        <f>840110+400000</f>
        <v>1240110</v>
      </c>
      <c r="D13" s="681">
        <f t="shared" si="0"/>
        <v>1211556.21</v>
      </c>
      <c r="E13" s="682">
        <f>+C13-D13</f>
        <v>28553.790000000037</v>
      </c>
      <c r="F13" s="683">
        <v>1211556.21</v>
      </c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</row>
    <row r="14" spans="1:27" s="677" customFormat="1" ht="18.75" customHeight="1" x14ac:dyDescent="0.3">
      <c r="A14" s="678" t="s">
        <v>266</v>
      </c>
      <c r="B14" s="679">
        <v>111100</v>
      </c>
      <c r="C14" s="680">
        <v>100250</v>
      </c>
      <c r="D14" s="681">
        <f t="shared" si="0"/>
        <v>100000</v>
      </c>
      <c r="E14" s="682">
        <f>+C14-D14</f>
        <v>250</v>
      </c>
      <c r="F14" s="681">
        <v>100000</v>
      </c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</row>
    <row r="15" spans="1:27" s="677" customFormat="1" ht="20.25" customHeight="1" x14ac:dyDescent="0.3">
      <c r="A15" s="678" t="s">
        <v>796</v>
      </c>
      <c r="B15" s="679">
        <v>111100</v>
      </c>
      <c r="C15" s="680">
        <v>440000</v>
      </c>
      <c r="D15" s="681">
        <f t="shared" si="0"/>
        <v>345000</v>
      </c>
      <c r="E15" s="682">
        <f>+C15-D15</f>
        <v>95000</v>
      </c>
      <c r="F15" s="681">
        <v>345000</v>
      </c>
      <c r="G15" s="680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</row>
    <row r="16" spans="1:27" s="677" customFormat="1" ht="19.5" customHeight="1" x14ac:dyDescent="0.3">
      <c r="A16" s="684" t="s">
        <v>189</v>
      </c>
      <c r="B16" s="685"/>
      <c r="C16" s="686">
        <f>SUM(C11:C15)</f>
        <v>1938160</v>
      </c>
      <c r="D16" s="687">
        <f>SUM(D11:D15)</f>
        <v>1800174.21</v>
      </c>
      <c r="E16" s="688">
        <f>SUM(E11:E15)</f>
        <v>137985.79000000004</v>
      </c>
      <c r="F16" s="689">
        <f>SUM(F11:F15)</f>
        <v>1800174.21</v>
      </c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690"/>
      <c r="V16" s="690"/>
      <c r="W16" s="690"/>
      <c r="X16" s="690"/>
      <c r="Y16" s="690"/>
    </row>
    <row r="17" spans="1:25" s="677" customFormat="1" ht="19.5" customHeight="1" x14ac:dyDescent="0.3">
      <c r="A17" s="691" t="s">
        <v>190</v>
      </c>
      <c r="B17" s="692"/>
      <c r="C17" s="693"/>
      <c r="D17" s="694"/>
      <c r="E17" s="694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95"/>
    </row>
    <row r="18" spans="1:25" s="677" customFormat="1" ht="20.25" customHeight="1" x14ac:dyDescent="0.3">
      <c r="A18" s="678" t="s">
        <v>267</v>
      </c>
      <c r="B18" s="679">
        <v>210100</v>
      </c>
      <c r="C18" s="696">
        <v>695520</v>
      </c>
      <c r="D18" s="697">
        <v>695520</v>
      </c>
      <c r="E18" s="696">
        <f>+C18-D18</f>
        <v>0</v>
      </c>
      <c r="F18" s="680"/>
      <c r="G18" s="697">
        <v>695520</v>
      </c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0"/>
      <c r="Y18" s="680"/>
    </row>
    <row r="19" spans="1:25" s="677" customFormat="1" ht="19.5" customHeight="1" x14ac:dyDescent="0.3">
      <c r="A19" s="678" t="s">
        <v>192</v>
      </c>
      <c r="B19" s="679">
        <v>210200</v>
      </c>
      <c r="C19" s="696">
        <v>120000</v>
      </c>
      <c r="D19" s="697">
        <v>120000</v>
      </c>
      <c r="E19" s="696">
        <f>+C19-D19</f>
        <v>0</v>
      </c>
      <c r="F19" s="680"/>
      <c r="G19" s="697">
        <v>120000</v>
      </c>
      <c r="H19" s="680"/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0"/>
      <c r="U19" s="680"/>
      <c r="V19" s="680"/>
      <c r="W19" s="680"/>
      <c r="X19" s="680"/>
      <c r="Y19" s="680"/>
    </row>
    <row r="20" spans="1:25" s="677" customFormat="1" ht="20.25" customHeight="1" x14ac:dyDescent="0.3">
      <c r="A20" s="678" t="s">
        <v>193</v>
      </c>
      <c r="B20" s="679">
        <v>210300</v>
      </c>
      <c r="C20" s="696">
        <v>120000</v>
      </c>
      <c r="D20" s="697">
        <v>120000</v>
      </c>
      <c r="E20" s="696">
        <f>+C20-D20</f>
        <v>0</v>
      </c>
      <c r="F20" s="680"/>
      <c r="G20" s="697">
        <v>120000</v>
      </c>
      <c r="H20" s="680"/>
      <c r="I20" s="680"/>
      <c r="J20" s="680"/>
      <c r="K20" s="680"/>
      <c r="L20" s="680"/>
      <c r="M20" s="680"/>
      <c r="N20" s="680"/>
      <c r="O20" s="680"/>
      <c r="P20" s="680"/>
      <c r="Q20" s="680"/>
      <c r="R20" s="680"/>
      <c r="S20" s="680"/>
      <c r="T20" s="680"/>
      <c r="U20" s="680"/>
      <c r="V20" s="680"/>
      <c r="W20" s="680"/>
      <c r="X20" s="680"/>
      <c r="Y20" s="680"/>
    </row>
    <row r="21" spans="1:25" s="677" customFormat="1" ht="19.5" customHeight="1" x14ac:dyDescent="0.3">
      <c r="A21" s="698" t="s">
        <v>194</v>
      </c>
      <c r="B21" s="699">
        <v>210400</v>
      </c>
      <c r="C21" s="700">
        <v>198720</v>
      </c>
      <c r="D21" s="701">
        <v>198720</v>
      </c>
      <c r="E21" s="696">
        <f>+C21-D21</f>
        <v>0</v>
      </c>
      <c r="F21" s="695"/>
      <c r="G21" s="701">
        <v>198720</v>
      </c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80"/>
      <c r="V21" s="695"/>
      <c r="W21" s="695"/>
      <c r="X21" s="695"/>
      <c r="Y21" s="695"/>
    </row>
    <row r="22" spans="1:25" s="677" customFormat="1" ht="19.5" customHeight="1" x14ac:dyDescent="0.3">
      <c r="A22" s="698" t="s">
        <v>195</v>
      </c>
      <c r="B22" s="699">
        <v>210600</v>
      </c>
      <c r="C22" s="700">
        <v>1490400</v>
      </c>
      <c r="D22" s="701">
        <v>1490400</v>
      </c>
      <c r="E22" s="696">
        <f>+C22-D22</f>
        <v>0</v>
      </c>
      <c r="F22" s="695"/>
      <c r="G22" s="701">
        <v>1490400</v>
      </c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80"/>
      <c r="V22" s="695"/>
      <c r="W22" s="695"/>
      <c r="X22" s="695"/>
      <c r="Y22" s="695"/>
    </row>
    <row r="23" spans="1:25" s="677" customFormat="1" ht="18" customHeight="1" x14ac:dyDescent="0.3">
      <c r="A23" s="684" t="s">
        <v>189</v>
      </c>
      <c r="B23" s="685"/>
      <c r="C23" s="687">
        <f>SUM(C18:C22)</f>
        <v>2624640</v>
      </c>
      <c r="D23" s="702">
        <f>SUM(D18:D22)</f>
        <v>2624640</v>
      </c>
      <c r="E23" s="688" t="s">
        <v>230</v>
      </c>
      <c r="F23" s="690"/>
      <c r="G23" s="690">
        <f>SUM(G18:G22)</f>
        <v>2624640</v>
      </c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  <c r="Y23" s="703"/>
    </row>
    <row r="24" spans="1:25" s="677" customFormat="1" ht="18" customHeight="1" x14ac:dyDescent="0.3">
      <c r="A24" s="671" t="s">
        <v>48</v>
      </c>
      <c r="B24" s="704"/>
      <c r="C24" s="696"/>
      <c r="D24" s="696"/>
      <c r="E24" s="70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</row>
    <row r="25" spans="1:25" s="677" customFormat="1" ht="18.75" customHeight="1" x14ac:dyDescent="0.3">
      <c r="A25" s="705" t="s">
        <v>196</v>
      </c>
      <c r="B25" s="706">
        <v>220100</v>
      </c>
      <c r="C25" s="707">
        <f>1555000+360000+623000</f>
        <v>2538000</v>
      </c>
      <c r="D25" s="707">
        <f>+G25+H25+I25+J25+K25+L25+M25+N25+O25+P25+Q25+R25+S25+T25+U25+V25+W25+X25+Y25</f>
        <v>2468725.37</v>
      </c>
      <c r="E25" s="696">
        <f t="shared" ref="E25:E30" si="1">+C25-D25</f>
        <v>69274.629999999888</v>
      </c>
      <c r="F25" s="680"/>
      <c r="G25" s="680">
        <v>1546215.37</v>
      </c>
      <c r="H25" s="708">
        <v>326500</v>
      </c>
      <c r="I25" s="680"/>
      <c r="J25" s="680"/>
      <c r="K25" s="680"/>
      <c r="L25" s="680"/>
      <c r="M25" s="680"/>
      <c r="N25" s="680"/>
      <c r="O25" s="680"/>
      <c r="P25" s="680"/>
      <c r="Q25" s="680"/>
      <c r="R25" s="708">
        <v>596010</v>
      </c>
      <c r="S25" s="680"/>
      <c r="T25" s="680"/>
      <c r="U25" s="680"/>
      <c r="V25" s="680"/>
      <c r="W25" s="680"/>
      <c r="X25" s="680"/>
      <c r="Y25" s="680"/>
    </row>
    <row r="26" spans="1:25" s="677" customFormat="1" ht="18.75" customHeight="1" x14ac:dyDescent="0.3">
      <c r="A26" s="678" t="s">
        <v>197</v>
      </c>
      <c r="B26" s="679">
        <v>220200</v>
      </c>
      <c r="C26" s="696">
        <f>10000+0+5000</f>
        <v>15000</v>
      </c>
      <c r="D26" s="707">
        <f t="shared" ref="D26:D29" si="2">+G26+H26+I26+J26+K26+L26+M26+N26+O26+P26+Q26+R26+S26+T26+U26+V26+W26+X26+Y26</f>
        <v>0</v>
      </c>
      <c r="E26" s="696">
        <f t="shared" si="1"/>
        <v>15000</v>
      </c>
      <c r="F26" s="680"/>
      <c r="G26" s="680">
        <v>0</v>
      </c>
      <c r="H26" s="680">
        <v>0</v>
      </c>
      <c r="I26" s="695"/>
      <c r="J26" s="695"/>
      <c r="K26" s="695"/>
      <c r="L26" s="695"/>
      <c r="M26" s="695"/>
      <c r="N26" s="695"/>
      <c r="O26" s="695"/>
      <c r="P26" s="695"/>
      <c r="Q26" s="695"/>
      <c r="R26" s="708">
        <v>0</v>
      </c>
      <c r="S26" s="695"/>
      <c r="T26" s="695"/>
      <c r="U26" s="695"/>
      <c r="V26" s="695"/>
      <c r="W26" s="695"/>
      <c r="X26" s="695"/>
      <c r="Y26" s="695"/>
    </row>
    <row r="27" spans="1:25" s="677" customFormat="1" ht="19.5" customHeight="1" x14ac:dyDescent="0.3">
      <c r="A27" s="678" t="s">
        <v>797</v>
      </c>
      <c r="B27" s="679">
        <v>220300</v>
      </c>
      <c r="C27" s="696">
        <f>84000+42000+42000-42000</f>
        <v>126000</v>
      </c>
      <c r="D27" s="707">
        <f t="shared" si="2"/>
        <v>126000</v>
      </c>
      <c r="E27" s="696">
        <f t="shared" si="1"/>
        <v>0</v>
      </c>
      <c r="F27" s="680"/>
      <c r="G27" s="680">
        <v>42000</v>
      </c>
      <c r="H27" s="708">
        <v>42000</v>
      </c>
      <c r="I27" s="695"/>
      <c r="J27" s="695"/>
      <c r="K27" s="695"/>
      <c r="L27" s="695"/>
      <c r="M27" s="695"/>
      <c r="N27" s="695"/>
      <c r="O27" s="695"/>
      <c r="P27" s="695"/>
      <c r="Q27" s="695"/>
      <c r="R27" s="708">
        <v>42000</v>
      </c>
      <c r="S27" s="695"/>
      <c r="T27" s="695"/>
      <c r="U27" s="695"/>
      <c r="V27" s="695"/>
      <c r="W27" s="695"/>
      <c r="X27" s="695"/>
      <c r="Y27" s="695"/>
    </row>
    <row r="28" spans="1:25" s="677" customFormat="1" ht="18.75" customHeight="1" x14ac:dyDescent="0.3">
      <c r="A28" s="709" t="s">
        <v>798</v>
      </c>
      <c r="B28" s="679">
        <v>220600</v>
      </c>
      <c r="C28" s="696">
        <f>1020000+510000+30000+657000+20000</f>
        <v>2237000</v>
      </c>
      <c r="D28" s="707">
        <f>+G28+H28+I28+J28+K28+L28+M28+N28+O28+P28+Q28+R28+S28+T28+U28+V28+W28+X28+Y28</f>
        <v>2222705</v>
      </c>
      <c r="E28" s="696">
        <f t="shared" si="1"/>
        <v>14295</v>
      </c>
      <c r="F28" s="680"/>
      <c r="G28" s="680">
        <v>1016480</v>
      </c>
      <c r="H28" s="708">
        <v>504700</v>
      </c>
      <c r="I28" s="680"/>
      <c r="J28" s="680"/>
      <c r="K28" s="710">
        <v>45465</v>
      </c>
      <c r="L28" s="680"/>
      <c r="M28" s="680"/>
      <c r="N28" s="680"/>
      <c r="O28" s="680"/>
      <c r="P28" s="680"/>
      <c r="Q28" s="680"/>
      <c r="R28" s="708">
        <v>656060</v>
      </c>
      <c r="S28" s="680"/>
      <c r="T28" s="680"/>
      <c r="U28" s="680"/>
      <c r="V28" s="680"/>
      <c r="W28" s="680"/>
      <c r="X28" s="680"/>
      <c r="Y28" s="680"/>
    </row>
    <row r="29" spans="1:25" s="677" customFormat="1" ht="17.25" customHeight="1" x14ac:dyDescent="0.3">
      <c r="A29" s="709" t="s">
        <v>200</v>
      </c>
      <c r="B29" s="711">
        <v>220700</v>
      </c>
      <c r="C29" s="712">
        <f>120000+95000+5000+100000</f>
        <v>320000</v>
      </c>
      <c r="D29" s="707">
        <f t="shared" si="2"/>
        <v>295760</v>
      </c>
      <c r="E29" s="696">
        <f t="shared" si="1"/>
        <v>24240</v>
      </c>
      <c r="F29" s="713"/>
      <c r="G29" s="713">
        <v>111320</v>
      </c>
      <c r="H29" s="714">
        <v>95000</v>
      </c>
      <c r="I29" s="715"/>
      <c r="J29" s="695"/>
      <c r="K29" s="695"/>
      <c r="L29" s="713"/>
      <c r="M29" s="695"/>
      <c r="N29" s="695"/>
      <c r="O29" s="695"/>
      <c r="P29" s="695"/>
      <c r="Q29" s="715"/>
      <c r="R29" s="714">
        <v>89440</v>
      </c>
      <c r="S29" s="695"/>
      <c r="T29" s="695"/>
      <c r="U29" s="695"/>
      <c r="V29" s="695"/>
      <c r="W29" s="695"/>
      <c r="X29" s="695"/>
      <c r="Y29" s="695"/>
    </row>
    <row r="30" spans="1:25" s="677" customFormat="1" ht="18" customHeight="1" x14ac:dyDescent="0.3">
      <c r="A30" s="684" t="s">
        <v>189</v>
      </c>
      <c r="B30" s="685"/>
      <c r="C30" s="687">
        <f>SUM(C25:C29)</f>
        <v>5236000</v>
      </c>
      <c r="D30" s="687">
        <f>SUM(D25:D29)</f>
        <v>5113190.37</v>
      </c>
      <c r="E30" s="688">
        <f t="shared" si="1"/>
        <v>122809.62999999989</v>
      </c>
      <c r="F30" s="703"/>
      <c r="G30" s="689">
        <f>SUM(G25:G29)</f>
        <v>2716015.37</v>
      </c>
      <c r="H30" s="716">
        <f>SUM(H25:H29)</f>
        <v>968200</v>
      </c>
      <c r="I30" s="716">
        <f t="shared" ref="I30:U30" si="3">SUM(I25:I29)</f>
        <v>0</v>
      </c>
      <c r="J30" s="716">
        <f t="shared" si="3"/>
        <v>0</v>
      </c>
      <c r="K30" s="716">
        <f t="shared" si="3"/>
        <v>45465</v>
      </c>
      <c r="L30" s="716">
        <f t="shared" si="3"/>
        <v>0</v>
      </c>
      <c r="M30" s="716">
        <f t="shared" si="3"/>
        <v>0</v>
      </c>
      <c r="N30" s="716">
        <f t="shared" si="3"/>
        <v>0</v>
      </c>
      <c r="O30" s="716">
        <f t="shared" si="3"/>
        <v>0</v>
      </c>
      <c r="P30" s="716">
        <f t="shared" si="3"/>
        <v>0</v>
      </c>
      <c r="Q30" s="716">
        <f t="shared" si="3"/>
        <v>0</v>
      </c>
      <c r="R30" s="716">
        <f>SUM(R25:R29)</f>
        <v>1383510</v>
      </c>
      <c r="S30" s="716">
        <f t="shared" si="3"/>
        <v>0</v>
      </c>
      <c r="T30" s="716">
        <f t="shared" si="3"/>
        <v>0</v>
      </c>
      <c r="U30" s="716">
        <f t="shared" si="3"/>
        <v>0</v>
      </c>
      <c r="V30" s="703"/>
      <c r="W30" s="703"/>
      <c r="X30" s="703"/>
      <c r="Y30" s="703"/>
    </row>
    <row r="32" spans="1:25" ht="23.25" x14ac:dyDescent="0.5">
      <c r="A32" s="883" t="s">
        <v>76</v>
      </c>
      <c r="B32" s="883"/>
      <c r="C32" s="883"/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  <c r="X32" s="883"/>
      <c r="Y32" s="883"/>
    </row>
    <row r="33" spans="1:27" ht="23.25" x14ac:dyDescent="0.5">
      <c r="A33" s="883" t="s">
        <v>792</v>
      </c>
      <c r="B33" s="883"/>
      <c r="C33" s="883"/>
      <c r="D33" s="883"/>
      <c r="E33" s="883"/>
      <c r="F33" s="883"/>
      <c r="G33" s="883"/>
      <c r="H33" s="883"/>
      <c r="I33" s="883"/>
      <c r="J33" s="883"/>
      <c r="K33" s="883"/>
      <c r="L33" s="883"/>
      <c r="M33" s="883"/>
      <c r="N33" s="883"/>
      <c r="O33" s="883"/>
      <c r="P33" s="883"/>
      <c r="Q33" s="883"/>
      <c r="R33" s="883"/>
      <c r="S33" s="883"/>
      <c r="T33" s="883"/>
      <c r="U33" s="883"/>
      <c r="V33" s="883"/>
      <c r="W33" s="883"/>
      <c r="X33" s="883"/>
      <c r="Y33" s="883"/>
    </row>
    <row r="34" spans="1:27" ht="23.25" x14ac:dyDescent="0.5">
      <c r="A34" s="883" t="s">
        <v>793</v>
      </c>
      <c r="B34" s="883"/>
      <c r="C34" s="883"/>
      <c r="D34" s="883"/>
      <c r="E34" s="883"/>
      <c r="F34" s="883"/>
      <c r="G34" s="883"/>
      <c r="H34" s="883"/>
      <c r="I34" s="883"/>
      <c r="J34" s="883"/>
      <c r="K34" s="883"/>
      <c r="L34" s="883"/>
      <c r="M34" s="883"/>
      <c r="N34" s="883"/>
      <c r="O34" s="883"/>
      <c r="P34" s="883"/>
      <c r="Q34" s="883"/>
      <c r="R34" s="883"/>
      <c r="S34" s="883"/>
      <c r="T34" s="883"/>
      <c r="U34" s="883"/>
      <c r="V34" s="883"/>
      <c r="W34" s="883"/>
      <c r="X34" s="883"/>
      <c r="Y34" s="883"/>
    </row>
    <row r="35" spans="1:27" s="643" customFormat="1" ht="10.5" x14ac:dyDescent="0.25">
      <c r="A35" s="638"/>
      <c r="B35" s="639"/>
      <c r="C35" s="884" t="s">
        <v>6</v>
      </c>
      <c r="D35" s="884" t="s">
        <v>794</v>
      </c>
      <c r="E35" s="640"/>
      <c r="F35" s="641" t="s">
        <v>41</v>
      </c>
      <c r="G35" s="875" t="s">
        <v>110</v>
      </c>
      <c r="H35" s="876"/>
      <c r="I35" s="872" t="s">
        <v>111</v>
      </c>
      <c r="J35" s="887"/>
      <c r="K35" s="874" t="s">
        <v>112</v>
      </c>
      <c r="L35" s="873"/>
      <c r="M35" s="888" t="s">
        <v>113</v>
      </c>
      <c r="N35" s="889"/>
      <c r="O35" s="642" t="s">
        <v>113</v>
      </c>
      <c r="P35" s="872" t="s">
        <v>113</v>
      </c>
      <c r="Q35" s="873"/>
      <c r="R35" s="874" t="s">
        <v>114</v>
      </c>
      <c r="S35" s="875"/>
      <c r="T35" s="874" t="s">
        <v>115</v>
      </c>
      <c r="U35" s="875"/>
      <c r="V35" s="876"/>
      <c r="W35" s="874" t="s">
        <v>116</v>
      </c>
      <c r="X35" s="873"/>
      <c r="Y35" s="642" t="s">
        <v>113</v>
      </c>
    </row>
    <row r="36" spans="1:27" s="643" customFormat="1" ht="10.5" x14ac:dyDescent="0.25">
      <c r="A36" s="644"/>
      <c r="B36" s="645"/>
      <c r="C36" s="885"/>
      <c r="D36" s="885"/>
      <c r="E36" s="646"/>
      <c r="F36" s="647"/>
      <c r="G36" s="865"/>
      <c r="H36" s="866"/>
      <c r="I36" s="877" t="s">
        <v>117</v>
      </c>
      <c r="J36" s="878"/>
      <c r="K36" s="648"/>
      <c r="L36" s="649"/>
      <c r="M36" s="879" t="s">
        <v>118</v>
      </c>
      <c r="N36" s="880"/>
      <c r="O36" s="650" t="s">
        <v>119</v>
      </c>
      <c r="P36" s="877" t="s">
        <v>120</v>
      </c>
      <c r="Q36" s="881"/>
      <c r="R36" s="644"/>
      <c r="S36" s="651"/>
      <c r="T36" s="879" t="s">
        <v>121</v>
      </c>
      <c r="U36" s="882"/>
      <c r="V36" s="880"/>
      <c r="W36" s="644" t="s">
        <v>13</v>
      </c>
      <c r="X36" s="649"/>
      <c r="Y36" s="652" t="s">
        <v>122</v>
      </c>
    </row>
    <row r="37" spans="1:27" s="643" customFormat="1" ht="10.5" x14ac:dyDescent="0.25">
      <c r="A37" s="644" t="s">
        <v>123</v>
      </c>
      <c r="B37" s="645"/>
      <c r="C37" s="885"/>
      <c r="D37" s="885"/>
      <c r="E37" s="653" t="s">
        <v>799</v>
      </c>
      <c r="F37" s="654" t="s">
        <v>124</v>
      </c>
      <c r="G37" s="865" t="s">
        <v>125</v>
      </c>
      <c r="H37" s="866"/>
      <c r="I37" s="655"/>
      <c r="J37" s="656" t="s">
        <v>126</v>
      </c>
      <c r="K37" s="863" t="s">
        <v>127</v>
      </c>
      <c r="L37" s="864"/>
      <c r="M37" s="867" t="s">
        <v>128</v>
      </c>
      <c r="N37" s="868"/>
      <c r="O37" s="654"/>
      <c r="P37" s="869" t="s">
        <v>129</v>
      </c>
      <c r="Q37" s="864"/>
      <c r="R37" s="863" t="s">
        <v>130</v>
      </c>
      <c r="S37" s="870"/>
      <c r="T37" s="863" t="s">
        <v>131</v>
      </c>
      <c r="U37" s="870"/>
      <c r="V37" s="871"/>
      <c r="W37" s="863" t="s">
        <v>132</v>
      </c>
      <c r="X37" s="864"/>
      <c r="Y37" s="654" t="s">
        <v>133</v>
      </c>
    </row>
    <row r="38" spans="1:27" s="643" customFormat="1" ht="10.5" x14ac:dyDescent="0.25">
      <c r="A38" s="657"/>
      <c r="B38" s="717"/>
      <c r="C38" s="885"/>
      <c r="D38" s="885"/>
      <c r="E38" s="653" t="s">
        <v>6</v>
      </c>
      <c r="F38" s="641" t="s">
        <v>134</v>
      </c>
      <c r="G38" s="641" t="s">
        <v>135</v>
      </c>
      <c r="H38" s="641" t="s">
        <v>135</v>
      </c>
      <c r="I38" s="659" t="s">
        <v>136</v>
      </c>
      <c r="J38" s="659" t="s">
        <v>137</v>
      </c>
      <c r="K38" s="660" t="s">
        <v>138</v>
      </c>
      <c r="L38" s="641" t="s">
        <v>139</v>
      </c>
      <c r="M38" s="641" t="s">
        <v>140</v>
      </c>
      <c r="N38" s="641" t="s">
        <v>141</v>
      </c>
      <c r="O38" s="641" t="s">
        <v>142</v>
      </c>
      <c r="P38" s="660" t="s">
        <v>138</v>
      </c>
      <c r="Q38" s="660" t="s">
        <v>143</v>
      </c>
      <c r="R38" s="641" t="s">
        <v>138</v>
      </c>
      <c r="S38" s="641" t="s">
        <v>144</v>
      </c>
      <c r="T38" s="641" t="s">
        <v>145</v>
      </c>
      <c r="U38" s="650" t="s">
        <v>146</v>
      </c>
      <c r="V38" s="661" t="s">
        <v>147</v>
      </c>
      <c r="W38" s="662" t="s">
        <v>148</v>
      </c>
      <c r="X38" s="641" t="s">
        <v>149</v>
      </c>
      <c r="Y38" s="641" t="s">
        <v>150</v>
      </c>
    </row>
    <row r="39" spans="1:27" s="643" customFormat="1" ht="10.5" x14ac:dyDescent="0.25">
      <c r="A39" s="644"/>
      <c r="B39" s="645"/>
      <c r="C39" s="885"/>
      <c r="D39" s="885"/>
      <c r="E39" s="646"/>
      <c r="F39" s="650"/>
      <c r="G39" s="650" t="s">
        <v>152</v>
      </c>
      <c r="H39" s="650" t="s">
        <v>153</v>
      </c>
      <c r="I39" s="663" t="s">
        <v>154</v>
      </c>
      <c r="J39" s="663" t="s">
        <v>155</v>
      </c>
      <c r="K39" s="664" t="s">
        <v>156</v>
      </c>
      <c r="L39" s="650" t="s">
        <v>157</v>
      </c>
      <c r="M39" s="650" t="s">
        <v>158</v>
      </c>
      <c r="N39" s="650" t="s">
        <v>159</v>
      </c>
      <c r="O39" s="650" t="s">
        <v>160</v>
      </c>
      <c r="P39" s="664" t="s">
        <v>161</v>
      </c>
      <c r="Q39" s="664" t="s">
        <v>162</v>
      </c>
      <c r="R39" s="650" t="s">
        <v>163</v>
      </c>
      <c r="S39" s="650" t="s">
        <v>164</v>
      </c>
      <c r="T39" s="650" t="s">
        <v>165</v>
      </c>
      <c r="U39" s="650" t="s">
        <v>166</v>
      </c>
      <c r="V39" s="661" t="s">
        <v>167</v>
      </c>
      <c r="W39" s="662" t="s">
        <v>168</v>
      </c>
      <c r="X39" s="650" t="s">
        <v>169</v>
      </c>
      <c r="Y39" s="650" t="s">
        <v>170</v>
      </c>
    </row>
    <row r="40" spans="1:27" s="643" customFormat="1" ht="10.5" x14ac:dyDescent="0.25">
      <c r="A40" s="665"/>
      <c r="B40" s="666"/>
      <c r="C40" s="886"/>
      <c r="D40" s="886"/>
      <c r="E40" s="667"/>
      <c r="F40" s="654" t="s">
        <v>171</v>
      </c>
      <c r="G40" s="654" t="s">
        <v>172</v>
      </c>
      <c r="H40" s="654" t="s">
        <v>173</v>
      </c>
      <c r="I40" s="668" t="s">
        <v>174</v>
      </c>
      <c r="J40" s="668"/>
      <c r="K40" s="669" t="s">
        <v>175</v>
      </c>
      <c r="L40" s="654" t="s">
        <v>176</v>
      </c>
      <c r="M40" s="654"/>
      <c r="N40" s="670" t="s">
        <v>177</v>
      </c>
      <c r="O40" s="654" t="s">
        <v>178</v>
      </c>
      <c r="P40" s="669" t="s">
        <v>179</v>
      </c>
      <c r="Q40" s="669"/>
      <c r="R40" s="654" t="s">
        <v>180</v>
      </c>
      <c r="S40" s="654" t="s">
        <v>181</v>
      </c>
      <c r="T40" s="654" t="s">
        <v>182</v>
      </c>
      <c r="U40" s="670" t="s">
        <v>183</v>
      </c>
      <c r="V40" s="669" t="s">
        <v>184</v>
      </c>
      <c r="W40" s="654" t="s">
        <v>185</v>
      </c>
      <c r="X40" s="654" t="s">
        <v>186</v>
      </c>
      <c r="Y40" s="654" t="s">
        <v>187</v>
      </c>
    </row>
    <row r="41" spans="1:27" s="677" customFormat="1" x14ac:dyDescent="0.3">
      <c r="A41" s="691" t="s">
        <v>49</v>
      </c>
      <c r="B41" s="692"/>
      <c r="C41" s="718"/>
      <c r="D41" s="718"/>
      <c r="E41" s="718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695"/>
      <c r="AA41" s="677">
        <v>2</v>
      </c>
    </row>
    <row r="42" spans="1:27" s="677" customFormat="1" x14ac:dyDescent="0.3">
      <c r="A42" s="678" t="s">
        <v>800</v>
      </c>
      <c r="B42" s="679">
        <v>310100</v>
      </c>
      <c r="C42" s="696">
        <f>20000+35000+10000+20000-20000</f>
        <v>65000</v>
      </c>
      <c r="D42" s="707">
        <f>+G42+H42+I42+J42+K42+L42+M42+N42+O42+P42+Q42+R42+S42+T42+U42+V42+W42+X42+Y42</f>
        <v>47900</v>
      </c>
      <c r="E42" s="696">
        <f t="shared" ref="E42:E45" si="4">+C42-D42</f>
        <v>17100</v>
      </c>
      <c r="F42" s="680"/>
      <c r="G42" s="680">
        <v>13600</v>
      </c>
      <c r="H42" s="708">
        <v>34300</v>
      </c>
      <c r="I42" s="680"/>
      <c r="J42" s="680">
        <v>0</v>
      </c>
      <c r="K42" s="680"/>
      <c r="L42" s="680"/>
      <c r="M42" s="680"/>
      <c r="N42" s="680"/>
      <c r="O42" s="680"/>
      <c r="P42" s="680"/>
      <c r="Q42" s="680"/>
      <c r="R42" s="680">
        <v>0</v>
      </c>
      <c r="S42" s="680"/>
      <c r="T42" s="680"/>
      <c r="U42" s="680"/>
      <c r="V42" s="680"/>
      <c r="W42" s="680"/>
      <c r="X42" s="680"/>
      <c r="Y42" s="680"/>
    </row>
    <row r="43" spans="1:27" s="677" customFormat="1" x14ac:dyDescent="0.3">
      <c r="A43" s="678" t="s">
        <v>211</v>
      </c>
      <c r="B43" s="679">
        <v>310300</v>
      </c>
      <c r="C43" s="696">
        <f>5000+0</f>
        <v>5000</v>
      </c>
      <c r="D43" s="707">
        <f t="shared" ref="D43:D48" si="5">+G43+H43+I43+J43+K43+L43+M43+N43+O43+P43+Q43+R43+S43+T43+U43+V43+W43+X43+Y43</f>
        <v>0</v>
      </c>
      <c r="E43" s="696">
        <f t="shared" si="4"/>
        <v>5000</v>
      </c>
      <c r="F43" s="680"/>
      <c r="G43" s="680">
        <v>0</v>
      </c>
      <c r="H43" s="680"/>
      <c r="I43" s="695"/>
      <c r="J43" s="695"/>
      <c r="K43" s="695"/>
      <c r="L43" s="695"/>
      <c r="M43" s="695"/>
      <c r="N43" s="695"/>
      <c r="O43" s="695"/>
      <c r="P43" s="695"/>
      <c r="Q43" s="695"/>
      <c r="R43" s="680"/>
      <c r="S43" s="680"/>
      <c r="T43" s="680"/>
      <c r="U43" s="680"/>
      <c r="V43" s="680"/>
      <c r="W43" s="680"/>
      <c r="X43" s="680"/>
      <c r="Y43" s="680"/>
    </row>
    <row r="44" spans="1:27" s="677" customFormat="1" x14ac:dyDescent="0.3">
      <c r="A44" s="678" t="s">
        <v>212</v>
      </c>
      <c r="B44" s="679">
        <v>310400</v>
      </c>
      <c r="C44" s="696">
        <f>0+5000+42000</f>
        <v>47000</v>
      </c>
      <c r="D44" s="707">
        <f t="shared" si="5"/>
        <v>42000</v>
      </c>
      <c r="E44" s="696">
        <f t="shared" si="4"/>
        <v>5000</v>
      </c>
      <c r="F44" s="680"/>
      <c r="G44" s="680">
        <v>0</v>
      </c>
      <c r="H44" s="680"/>
      <c r="I44" s="695"/>
      <c r="J44" s="695"/>
      <c r="K44" s="695"/>
      <c r="L44" s="695"/>
      <c r="M44" s="695"/>
      <c r="N44" s="695"/>
      <c r="O44" s="695"/>
      <c r="P44" s="695"/>
      <c r="Q44" s="695"/>
      <c r="R44" s="708">
        <v>42000</v>
      </c>
      <c r="S44" s="680"/>
      <c r="T44" s="680"/>
      <c r="U44" s="680"/>
      <c r="V44" s="680"/>
      <c r="W44" s="680"/>
      <c r="X44" s="680"/>
      <c r="Y44" s="680"/>
    </row>
    <row r="45" spans="1:27" s="677" customFormat="1" x14ac:dyDescent="0.3">
      <c r="A45" s="709" t="s">
        <v>213</v>
      </c>
      <c r="B45" s="711">
        <v>310500</v>
      </c>
      <c r="C45" s="712">
        <f>40000+5000+14000</f>
        <v>59000</v>
      </c>
      <c r="D45" s="707">
        <f t="shared" si="5"/>
        <v>33262</v>
      </c>
      <c r="E45" s="696">
        <f t="shared" si="4"/>
        <v>25738</v>
      </c>
      <c r="F45" s="713"/>
      <c r="G45" s="713">
        <f>33282-20</f>
        <v>33262</v>
      </c>
      <c r="H45" s="713"/>
      <c r="I45" s="713"/>
      <c r="J45" s="680"/>
      <c r="K45" s="680"/>
      <c r="L45" s="680"/>
      <c r="M45" s="680"/>
      <c r="N45" s="680"/>
      <c r="O45" s="680"/>
      <c r="P45" s="680"/>
      <c r="Q45" s="695"/>
      <c r="R45" s="713"/>
      <c r="S45" s="680"/>
      <c r="T45" s="680"/>
      <c r="U45" s="680"/>
      <c r="V45" s="680"/>
      <c r="W45" s="680"/>
      <c r="X45" s="680"/>
      <c r="Y45" s="680"/>
    </row>
    <row r="46" spans="1:27" s="677" customFormat="1" x14ac:dyDescent="0.3">
      <c r="A46" s="709" t="s">
        <v>214</v>
      </c>
      <c r="B46" s="711">
        <v>310100</v>
      </c>
      <c r="C46" s="712">
        <v>0</v>
      </c>
      <c r="D46" s="707">
        <f t="shared" si="5"/>
        <v>0</v>
      </c>
      <c r="E46" s="696" t="s">
        <v>230</v>
      </c>
      <c r="F46" s="713"/>
      <c r="G46" s="713"/>
      <c r="H46" s="713"/>
      <c r="I46" s="713"/>
      <c r="J46" s="713"/>
      <c r="K46" s="715"/>
      <c r="L46" s="715"/>
      <c r="M46" s="715"/>
      <c r="N46" s="715"/>
      <c r="O46" s="715"/>
      <c r="P46" s="715"/>
      <c r="Q46" s="715"/>
      <c r="R46" s="713"/>
      <c r="S46" s="713"/>
      <c r="T46" s="713"/>
      <c r="U46" s="713"/>
      <c r="V46" s="713"/>
      <c r="W46" s="713"/>
      <c r="X46" s="713"/>
      <c r="Y46" s="713"/>
    </row>
    <row r="47" spans="1:27" s="677" customFormat="1" x14ac:dyDescent="0.3">
      <c r="A47" s="678" t="s">
        <v>215</v>
      </c>
      <c r="B47" s="679">
        <v>310600</v>
      </c>
      <c r="C47" s="696">
        <v>0</v>
      </c>
      <c r="D47" s="707">
        <f t="shared" si="5"/>
        <v>5340</v>
      </c>
      <c r="E47" s="696">
        <v>0</v>
      </c>
      <c r="F47" s="680"/>
      <c r="G47" s="680"/>
      <c r="H47" s="680"/>
      <c r="I47" s="680"/>
      <c r="J47" s="680"/>
      <c r="K47" s="680"/>
      <c r="L47" s="680"/>
      <c r="M47" s="680"/>
      <c r="N47" s="680"/>
      <c r="O47" s="680"/>
      <c r="P47" s="680"/>
      <c r="Q47" s="680"/>
      <c r="R47" s="708">
        <v>5340</v>
      </c>
      <c r="S47" s="680"/>
      <c r="T47" s="680"/>
      <c r="U47" s="680"/>
      <c r="V47" s="680"/>
      <c r="W47" s="680"/>
      <c r="X47" s="680"/>
      <c r="Y47" s="680"/>
    </row>
    <row r="48" spans="1:27" s="677" customFormat="1" x14ac:dyDescent="0.3">
      <c r="A48" s="719" t="s">
        <v>268</v>
      </c>
      <c r="B48" s="692"/>
      <c r="C48" s="718">
        <v>0</v>
      </c>
      <c r="D48" s="707">
        <f t="shared" si="5"/>
        <v>0</v>
      </c>
      <c r="E48" s="720">
        <v>0</v>
      </c>
      <c r="F48" s="715"/>
      <c r="G48" s="715"/>
      <c r="H48" s="715"/>
      <c r="I48" s="715"/>
      <c r="J48" s="715"/>
      <c r="K48" s="715"/>
      <c r="L48" s="715"/>
      <c r="M48" s="715"/>
      <c r="N48" s="715"/>
      <c r="O48" s="715"/>
      <c r="P48" s="715"/>
      <c r="Q48" s="715"/>
      <c r="R48" s="715"/>
      <c r="S48" s="715"/>
      <c r="T48" s="715"/>
      <c r="U48" s="715"/>
      <c r="V48" s="715"/>
      <c r="W48" s="715"/>
      <c r="X48" s="715"/>
      <c r="Y48" s="715"/>
    </row>
    <row r="49" spans="1:25" s="677" customFormat="1" x14ac:dyDescent="0.3">
      <c r="A49" s="684" t="s">
        <v>189</v>
      </c>
      <c r="B49" s="685"/>
      <c r="C49" s="687">
        <f>SUM(C42:C48)</f>
        <v>176000</v>
      </c>
      <c r="D49" s="702">
        <f>SUM(D42:D48)</f>
        <v>128502</v>
      </c>
      <c r="E49" s="688">
        <f>SUM(E42:E48)</f>
        <v>52838</v>
      </c>
      <c r="F49" s="690"/>
      <c r="G49" s="690">
        <f>SUM(G42:G48)</f>
        <v>46862</v>
      </c>
      <c r="H49" s="721">
        <f>SUM(H42:H48)</f>
        <v>34300</v>
      </c>
      <c r="I49" s="721">
        <f t="shared" ref="I49:U49" si="6">SUM(I42:I48)</f>
        <v>0</v>
      </c>
      <c r="J49" s="721">
        <f t="shared" si="6"/>
        <v>0</v>
      </c>
      <c r="K49" s="721">
        <f t="shared" si="6"/>
        <v>0</v>
      </c>
      <c r="L49" s="721">
        <f t="shared" si="6"/>
        <v>0</v>
      </c>
      <c r="M49" s="721">
        <f t="shared" si="6"/>
        <v>0</v>
      </c>
      <c r="N49" s="721">
        <f t="shared" si="6"/>
        <v>0</v>
      </c>
      <c r="O49" s="721">
        <f t="shared" si="6"/>
        <v>0</v>
      </c>
      <c r="P49" s="721">
        <f t="shared" si="6"/>
        <v>0</v>
      </c>
      <c r="Q49" s="721">
        <f t="shared" si="6"/>
        <v>0</v>
      </c>
      <c r="R49" s="721">
        <f t="shared" si="6"/>
        <v>47340</v>
      </c>
      <c r="S49" s="721">
        <f t="shared" si="6"/>
        <v>0</v>
      </c>
      <c r="T49" s="721">
        <f t="shared" si="6"/>
        <v>0</v>
      </c>
      <c r="U49" s="721">
        <f t="shared" si="6"/>
        <v>0</v>
      </c>
      <c r="V49" s="703"/>
      <c r="W49" s="703"/>
      <c r="X49" s="703"/>
      <c r="Y49" s="703"/>
    </row>
    <row r="50" spans="1:25" s="677" customFormat="1" x14ac:dyDescent="0.3">
      <c r="A50" s="722" t="s">
        <v>50</v>
      </c>
      <c r="B50" s="672"/>
      <c r="C50" s="673"/>
      <c r="D50" s="673"/>
      <c r="E50" s="673"/>
      <c r="F50" s="676"/>
      <c r="G50" s="676"/>
      <c r="H50" s="676"/>
      <c r="I50" s="676"/>
      <c r="J50" s="723"/>
      <c r="K50" s="723"/>
      <c r="L50" s="676"/>
      <c r="M50" s="676"/>
      <c r="N50" s="676"/>
      <c r="O50" s="676"/>
      <c r="P50" s="723"/>
      <c r="Q50" s="723"/>
      <c r="R50" s="676"/>
      <c r="S50" s="676"/>
      <c r="T50" s="676"/>
      <c r="U50" s="676"/>
      <c r="V50" s="723"/>
      <c r="W50" s="676"/>
      <c r="X50" s="676"/>
      <c r="Y50" s="676"/>
    </row>
    <row r="51" spans="1:25" s="677" customFormat="1" x14ac:dyDescent="0.3">
      <c r="A51" s="724" t="s">
        <v>801</v>
      </c>
      <c r="B51" s="679">
        <v>320100</v>
      </c>
      <c r="C51" s="696">
        <f>144800+20000+10000+10000+15000</f>
        <v>199800</v>
      </c>
      <c r="D51" s="707">
        <f>+G51+H51+I51+J51+K51+L51+M51+N51+O51+P51+Q51+R51+S51+T51+U51+V51+W51+X51+Y51</f>
        <v>150103</v>
      </c>
      <c r="E51" s="696">
        <f>+C51-D51</f>
        <v>49697</v>
      </c>
      <c r="F51" s="680"/>
      <c r="G51" s="680">
        <v>137403</v>
      </c>
      <c r="H51" s="680">
        <v>0</v>
      </c>
      <c r="I51" s="695"/>
      <c r="J51" s="695"/>
      <c r="K51" s="710">
        <v>7800</v>
      </c>
      <c r="L51" s="680"/>
      <c r="M51" s="680"/>
      <c r="N51" s="680"/>
      <c r="O51" s="680"/>
      <c r="P51" s="680"/>
      <c r="Q51" s="680"/>
      <c r="R51" s="708">
        <v>4900</v>
      </c>
      <c r="S51" s="680"/>
      <c r="T51" s="680"/>
      <c r="U51" s="680"/>
      <c r="V51" s="680"/>
      <c r="W51" s="680"/>
      <c r="X51" s="680"/>
      <c r="Y51" s="680"/>
    </row>
    <row r="52" spans="1:25" s="677" customFormat="1" x14ac:dyDescent="0.3">
      <c r="A52" s="724" t="s">
        <v>218</v>
      </c>
      <c r="B52" s="679">
        <v>320200</v>
      </c>
      <c r="C52" s="696"/>
      <c r="D52" s="707">
        <f t="shared" ref="D52:D56" si="7">+G52+H52+I52+J52+K52+L52+M52+N52+O52+P52+Q52+R52+S52+T52+U52+V52+W52+X52+Y52</f>
        <v>0</v>
      </c>
      <c r="E52" s="696">
        <f t="shared" ref="E52:E56" si="8">+C52-D52</f>
        <v>0</v>
      </c>
      <c r="F52" s="680"/>
      <c r="G52" s="680"/>
      <c r="H52" s="680"/>
      <c r="I52" s="680"/>
      <c r="J52" s="680"/>
      <c r="K52" s="680"/>
      <c r="L52" s="680"/>
      <c r="M52" s="680"/>
      <c r="N52" s="680"/>
      <c r="O52" s="680"/>
      <c r="P52" s="680"/>
      <c r="Q52" s="680"/>
      <c r="R52" s="680"/>
      <c r="S52" s="680"/>
      <c r="T52" s="680"/>
      <c r="U52" s="680"/>
      <c r="V52" s="680"/>
      <c r="W52" s="680"/>
      <c r="X52" s="680"/>
      <c r="Y52" s="680"/>
    </row>
    <row r="53" spans="1:25" s="677" customFormat="1" x14ac:dyDescent="0.3">
      <c r="A53" s="698" t="s">
        <v>802</v>
      </c>
      <c r="B53" s="699"/>
      <c r="C53" s="700">
        <v>10000</v>
      </c>
      <c r="D53" s="707">
        <f t="shared" si="7"/>
        <v>0</v>
      </c>
      <c r="E53" s="696">
        <f t="shared" si="8"/>
        <v>10000</v>
      </c>
      <c r="F53" s="695"/>
      <c r="G53" s="695">
        <v>0</v>
      </c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</row>
    <row r="54" spans="1:25" s="677" customFormat="1" x14ac:dyDescent="0.3">
      <c r="A54" s="678" t="s">
        <v>220</v>
      </c>
      <c r="B54" s="679"/>
      <c r="C54" s="696">
        <v>20000</v>
      </c>
      <c r="D54" s="707">
        <f>+G54+H54+I54+J54+K54+L54+M54+N54+O54+P54+Q54+R54+S54+T54+U54+V54+W54+X54+Y54</f>
        <v>0</v>
      </c>
      <c r="E54" s="696">
        <f t="shared" si="8"/>
        <v>20000</v>
      </c>
      <c r="F54" s="680"/>
      <c r="G54" s="680">
        <v>0</v>
      </c>
      <c r="H54" s="680"/>
      <c r="I54" s="695"/>
      <c r="J54" s="695"/>
      <c r="K54" s="695"/>
      <c r="L54" s="680"/>
      <c r="M54" s="680"/>
      <c r="N54" s="680"/>
      <c r="O54" s="680"/>
      <c r="P54" s="680"/>
      <c r="Q54" s="680"/>
      <c r="R54" s="680"/>
      <c r="S54" s="680"/>
      <c r="T54" s="680"/>
      <c r="U54" s="680"/>
      <c r="V54" s="680"/>
      <c r="W54" s="680"/>
      <c r="X54" s="680"/>
      <c r="Y54" s="680"/>
    </row>
    <row r="55" spans="1:25" s="677" customFormat="1" x14ac:dyDescent="0.3">
      <c r="A55" s="678" t="s">
        <v>803</v>
      </c>
      <c r="B55" s="679">
        <v>320300</v>
      </c>
      <c r="C55" s="696">
        <v>0</v>
      </c>
      <c r="D55" s="707">
        <f t="shared" si="7"/>
        <v>0</v>
      </c>
      <c r="E55" s="696">
        <f t="shared" si="8"/>
        <v>0</v>
      </c>
      <c r="F55" s="680"/>
      <c r="G55" s="680">
        <v>0</v>
      </c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0"/>
      <c r="T55" s="680"/>
      <c r="U55" s="695"/>
      <c r="V55" s="680"/>
      <c r="W55" s="680"/>
      <c r="X55" s="680"/>
      <c r="Y55" s="680"/>
    </row>
    <row r="56" spans="1:25" s="677" customFormat="1" x14ac:dyDescent="0.3">
      <c r="A56" s="725" t="s">
        <v>804</v>
      </c>
      <c r="B56" s="726"/>
      <c r="C56" s="720">
        <v>10000</v>
      </c>
      <c r="D56" s="727">
        <f t="shared" si="7"/>
        <v>0</v>
      </c>
      <c r="E56" s="720">
        <f t="shared" si="8"/>
        <v>10000</v>
      </c>
      <c r="F56" s="728"/>
      <c r="G56" s="728">
        <v>0</v>
      </c>
      <c r="H56" s="728"/>
      <c r="I56" s="728"/>
      <c r="J56" s="728"/>
      <c r="K56" s="728"/>
      <c r="L56" s="728">
        <v>0</v>
      </c>
      <c r="M56" s="728"/>
      <c r="N56" s="728"/>
      <c r="O56" s="728"/>
      <c r="P56" s="728"/>
      <c r="Q56" s="728"/>
      <c r="R56" s="728"/>
      <c r="S56" s="728"/>
      <c r="T56" s="728"/>
      <c r="U56" s="728"/>
      <c r="V56" s="728"/>
      <c r="W56" s="728"/>
      <c r="X56" s="728"/>
      <c r="Y56" s="728"/>
    </row>
    <row r="57" spans="1:25" s="677" customFormat="1" x14ac:dyDescent="0.3">
      <c r="A57" s="729"/>
      <c r="B57" s="692"/>
      <c r="C57" s="730"/>
      <c r="D57" s="731"/>
      <c r="E57" s="730"/>
      <c r="F57" s="732"/>
      <c r="G57" s="732"/>
      <c r="H57" s="732"/>
      <c r="I57" s="732"/>
      <c r="J57" s="732"/>
      <c r="K57" s="732"/>
      <c r="L57" s="732"/>
      <c r="M57" s="732"/>
      <c r="N57" s="732"/>
      <c r="O57" s="732"/>
      <c r="P57" s="732"/>
      <c r="Q57" s="732"/>
      <c r="R57" s="732"/>
      <c r="S57" s="732"/>
      <c r="T57" s="732"/>
      <c r="U57" s="732"/>
      <c r="V57" s="732"/>
      <c r="W57" s="732"/>
      <c r="X57" s="732"/>
      <c r="Y57" s="732"/>
    </row>
    <row r="58" spans="1:25" s="677" customFormat="1" x14ac:dyDescent="0.3">
      <c r="A58" s="729"/>
      <c r="B58" s="692"/>
      <c r="C58" s="730"/>
      <c r="D58" s="731"/>
      <c r="E58" s="730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  <c r="S58" s="732"/>
      <c r="T58" s="732"/>
      <c r="U58" s="732"/>
      <c r="V58" s="732"/>
      <c r="W58" s="732"/>
      <c r="X58" s="732"/>
      <c r="Y58" s="732"/>
    </row>
    <row r="59" spans="1:25" s="677" customFormat="1" x14ac:dyDescent="0.3">
      <c r="A59" s="729"/>
      <c r="B59" s="692"/>
      <c r="C59" s="730"/>
      <c r="D59" s="731"/>
      <c r="E59" s="730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</row>
    <row r="60" spans="1:25" s="677" customFormat="1" x14ac:dyDescent="0.3">
      <c r="A60" s="729"/>
      <c r="B60" s="692"/>
      <c r="C60" s="730"/>
      <c r="D60" s="731"/>
      <c r="E60" s="730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732"/>
      <c r="V60" s="732"/>
      <c r="W60" s="732"/>
      <c r="X60" s="732"/>
      <c r="Y60" s="732"/>
    </row>
    <row r="61" spans="1:25" s="677" customFormat="1" x14ac:dyDescent="0.3">
      <c r="A61" s="729"/>
      <c r="B61" s="692"/>
      <c r="C61" s="730"/>
      <c r="D61" s="731"/>
      <c r="E61" s="730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732"/>
      <c r="X61" s="732"/>
      <c r="Y61" s="732"/>
    </row>
    <row r="62" spans="1:25" s="677" customFormat="1" x14ac:dyDescent="0.3">
      <c r="A62" s="729"/>
      <c r="B62" s="692"/>
      <c r="C62" s="730"/>
      <c r="D62" s="731"/>
      <c r="E62" s="730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  <c r="W62" s="732"/>
      <c r="X62" s="732"/>
      <c r="Y62" s="732"/>
    </row>
    <row r="63" spans="1:25" s="677" customFormat="1" x14ac:dyDescent="0.3">
      <c r="A63" s="729"/>
      <c r="B63" s="692"/>
      <c r="C63" s="730"/>
      <c r="D63" s="731"/>
      <c r="E63" s="730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  <c r="Q63" s="732"/>
      <c r="R63" s="732"/>
      <c r="S63" s="732"/>
      <c r="T63" s="732"/>
      <c r="U63" s="732"/>
      <c r="V63" s="732"/>
      <c r="W63" s="732"/>
      <c r="X63" s="732"/>
      <c r="Y63" s="732"/>
    </row>
    <row r="64" spans="1:25" s="677" customFormat="1" x14ac:dyDescent="0.3">
      <c r="A64" s="729"/>
      <c r="B64" s="692"/>
      <c r="C64" s="730"/>
      <c r="D64" s="731"/>
      <c r="E64" s="730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  <c r="S64" s="732"/>
      <c r="T64" s="732"/>
      <c r="U64" s="732"/>
      <c r="V64" s="732"/>
      <c r="W64" s="732"/>
      <c r="X64" s="732"/>
      <c r="Y64" s="732"/>
    </row>
    <row r="65" spans="1:25" s="677" customFormat="1" x14ac:dyDescent="0.3">
      <c r="A65" s="729"/>
      <c r="B65" s="692"/>
      <c r="C65" s="730"/>
      <c r="D65" s="731"/>
      <c r="E65" s="730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32"/>
    </row>
    <row r="66" spans="1:25" s="677" customFormat="1" x14ac:dyDescent="0.3">
      <c r="A66" s="729"/>
      <c r="B66" s="692"/>
      <c r="C66" s="730"/>
      <c r="D66" s="731"/>
      <c r="E66" s="730"/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  <c r="Q66" s="732"/>
      <c r="R66" s="732"/>
      <c r="S66" s="732"/>
      <c r="T66" s="732"/>
      <c r="U66" s="732"/>
      <c r="V66" s="732"/>
      <c r="W66" s="732"/>
      <c r="X66" s="732"/>
      <c r="Y66" s="732"/>
    </row>
    <row r="67" spans="1:25" s="677" customFormat="1" x14ac:dyDescent="0.3">
      <c r="A67" s="729"/>
      <c r="B67" s="692"/>
      <c r="C67" s="730"/>
      <c r="D67" s="731"/>
      <c r="E67" s="730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  <c r="Q67" s="732"/>
      <c r="R67" s="732"/>
      <c r="S67" s="732"/>
      <c r="T67" s="732"/>
      <c r="U67" s="732"/>
      <c r="V67" s="732"/>
      <c r="W67" s="732"/>
      <c r="X67" s="732"/>
      <c r="Y67" s="732"/>
    </row>
    <row r="68" spans="1:25" s="677" customFormat="1" x14ac:dyDescent="0.3">
      <c r="A68" s="729"/>
      <c r="B68" s="692"/>
      <c r="C68" s="730"/>
      <c r="D68" s="731"/>
      <c r="E68" s="730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  <c r="Q68" s="732"/>
      <c r="R68" s="732"/>
      <c r="S68" s="732"/>
      <c r="T68" s="732"/>
      <c r="U68" s="732"/>
      <c r="V68" s="732"/>
      <c r="W68" s="732"/>
      <c r="X68" s="732"/>
      <c r="Y68" s="732"/>
    </row>
    <row r="69" spans="1:25" s="677" customFormat="1" x14ac:dyDescent="0.3">
      <c r="A69" s="729"/>
      <c r="B69" s="692"/>
      <c r="C69" s="730"/>
      <c r="D69" s="731"/>
      <c r="E69" s="730"/>
      <c r="F69" s="732"/>
      <c r="G69" s="732"/>
      <c r="H69" s="732"/>
      <c r="I69" s="732"/>
      <c r="J69" s="732"/>
      <c r="K69" s="732"/>
      <c r="L69" s="732"/>
      <c r="M69" s="732"/>
      <c r="N69" s="732"/>
      <c r="O69" s="732"/>
      <c r="P69" s="732"/>
      <c r="Q69" s="732"/>
      <c r="R69" s="732"/>
      <c r="S69" s="732"/>
      <c r="T69" s="732"/>
      <c r="U69" s="732"/>
      <c r="V69" s="732"/>
      <c r="W69" s="732"/>
      <c r="X69" s="732"/>
      <c r="Y69" s="732"/>
    </row>
    <row r="70" spans="1:25" s="677" customFormat="1" x14ac:dyDescent="0.3">
      <c r="A70" s="729"/>
      <c r="B70" s="692"/>
      <c r="C70" s="730"/>
      <c r="D70" s="731"/>
      <c r="E70" s="730"/>
      <c r="F70" s="732"/>
      <c r="G70" s="732"/>
      <c r="H70" s="732"/>
      <c r="I70" s="732"/>
      <c r="J70" s="732"/>
      <c r="K70" s="732"/>
      <c r="L70" s="732"/>
      <c r="M70" s="732"/>
      <c r="N70" s="732"/>
      <c r="O70" s="732"/>
      <c r="P70" s="732"/>
      <c r="Q70" s="732"/>
      <c r="R70" s="732"/>
      <c r="S70" s="732"/>
      <c r="T70" s="732"/>
      <c r="U70" s="732"/>
      <c r="V70" s="732"/>
      <c r="W70" s="732"/>
      <c r="X70" s="732"/>
      <c r="Y70" s="732"/>
    </row>
    <row r="71" spans="1:25" ht="23.25" x14ac:dyDescent="0.5">
      <c r="A71" s="883" t="s">
        <v>76</v>
      </c>
      <c r="B71" s="883"/>
      <c r="C71" s="883"/>
      <c r="D71" s="883"/>
      <c r="E71" s="883"/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3"/>
      <c r="U71" s="883"/>
      <c r="V71" s="883"/>
      <c r="W71" s="883"/>
      <c r="X71" s="883"/>
      <c r="Y71" s="883"/>
    </row>
    <row r="72" spans="1:25" ht="23.25" x14ac:dyDescent="0.5">
      <c r="A72" s="883" t="s">
        <v>792</v>
      </c>
      <c r="B72" s="883"/>
      <c r="C72" s="883"/>
      <c r="D72" s="883"/>
      <c r="E72" s="883"/>
      <c r="F72" s="883"/>
      <c r="G72" s="883"/>
      <c r="H72" s="883"/>
      <c r="I72" s="883"/>
      <c r="J72" s="883"/>
      <c r="K72" s="883"/>
      <c r="L72" s="883"/>
      <c r="M72" s="883"/>
      <c r="N72" s="883"/>
      <c r="O72" s="883"/>
      <c r="P72" s="883"/>
      <c r="Q72" s="883"/>
      <c r="R72" s="883"/>
      <c r="S72" s="883"/>
      <c r="T72" s="883"/>
      <c r="U72" s="883"/>
      <c r="V72" s="883"/>
      <c r="W72" s="883"/>
      <c r="X72" s="883"/>
      <c r="Y72" s="883"/>
    </row>
    <row r="73" spans="1:25" ht="23.25" x14ac:dyDescent="0.5">
      <c r="A73" s="883" t="s">
        <v>793</v>
      </c>
      <c r="B73" s="883"/>
      <c r="C73" s="883"/>
      <c r="D73" s="883"/>
      <c r="E73" s="883"/>
      <c r="F73" s="883"/>
      <c r="G73" s="883"/>
      <c r="H73" s="883"/>
      <c r="I73" s="883"/>
      <c r="J73" s="883"/>
      <c r="K73" s="883"/>
      <c r="L73" s="883"/>
      <c r="M73" s="883"/>
      <c r="N73" s="883"/>
      <c r="O73" s="883"/>
      <c r="P73" s="883"/>
      <c r="Q73" s="883"/>
      <c r="R73" s="883"/>
      <c r="S73" s="883"/>
      <c r="T73" s="883"/>
      <c r="U73" s="883"/>
      <c r="V73" s="883"/>
      <c r="W73" s="883"/>
      <c r="X73" s="883"/>
      <c r="Y73" s="883"/>
    </row>
    <row r="74" spans="1:25" s="643" customFormat="1" ht="10.5" x14ac:dyDescent="0.25">
      <c r="A74" s="638"/>
      <c r="B74" s="639"/>
      <c r="C74" s="884" t="s">
        <v>6</v>
      </c>
      <c r="D74" s="884" t="s">
        <v>794</v>
      </c>
      <c r="E74" s="640"/>
      <c r="F74" s="641" t="s">
        <v>41</v>
      </c>
      <c r="G74" s="875" t="s">
        <v>110</v>
      </c>
      <c r="H74" s="876"/>
      <c r="I74" s="872" t="s">
        <v>111</v>
      </c>
      <c r="J74" s="887"/>
      <c r="K74" s="874" t="s">
        <v>112</v>
      </c>
      <c r="L74" s="873"/>
      <c r="M74" s="888" t="s">
        <v>113</v>
      </c>
      <c r="N74" s="889"/>
      <c r="O74" s="642" t="s">
        <v>113</v>
      </c>
      <c r="P74" s="872" t="s">
        <v>113</v>
      </c>
      <c r="Q74" s="873"/>
      <c r="R74" s="874" t="s">
        <v>114</v>
      </c>
      <c r="S74" s="875"/>
      <c r="T74" s="874" t="s">
        <v>115</v>
      </c>
      <c r="U74" s="875"/>
      <c r="V74" s="876"/>
      <c r="W74" s="874" t="s">
        <v>116</v>
      </c>
      <c r="X74" s="873"/>
      <c r="Y74" s="642" t="s">
        <v>113</v>
      </c>
    </row>
    <row r="75" spans="1:25" s="643" customFormat="1" ht="10.5" x14ac:dyDescent="0.25">
      <c r="A75" s="644"/>
      <c r="B75" s="645"/>
      <c r="C75" s="885"/>
      <c r="D75" s="885"/>
      <c r="E75" s="646"/>
      <c r="F75" s="647"/>
      <c r="G75" s="865"/>
      <c r="H75" s="866"/>
      <c r="I75" s="877" t="s">
        <v>117</v>
      </c>
      <c r="J75" s="878"/>
      <c r="K75" s="648"/>
      <c r="L75" s="649"/>
      <c r="M75" s="879" t="s">
        <v>118</v>
      </c>
      <c r="N75" s="880"/>
      <c r="O75" s="650" t="s">
        <v>119</v>
      </c>
      <c r="P75" s="877" t="s">
        <v>120</v>
      </c>
      <c r="Q75" s="881"/>
      <c r="R75" s="644"/>
      <c r="S75" s="651"/>
      <c r="T75" s="879" t="s">
        <v>121</v>
      </c>
      <c r="U75" s="882"/>
      <c r="V75" s="880"/>
      <c r="W75" s="644" t="s">
        <v>13</v>
      </c>
      <c r="X75" s="649"/>
      <c r="Y75" s="652" t="s">
        <v>122</v>
      </c>
    </row>
    <row r="76" spans="1:25" s="643" customFormat="1" ht="10.5" x14ac:dyDescent="0.25">
      <c r="A76" s="644" t="s">
        <v>123</v>
      </c>
      <c r="B76" s="645"/>
      <c r="C76" s="885"/>
      <c r="D76" s="885"/>
      <c r="E76" s="653" t="s">
        <v>799</v>
      </c>
      <c r="F76" s="654" t="s">
        <v>124</v>
      </c>
      <c r="G76" s="865" t="s">
        <v>125</v>
      </c>
      <c r="H76" s="866"/>
      <c r="I76" s="655"/>
      <c r="J76" s="656" t="s">
        <v>126</v>
      </c>
      <c r="K76" s="863" t="s">
        <v>127</v>
      </c>
      <c r="L76" s="864"/>
      <c r="M76" s="867" t="s">
        <v>128</v>
      </c>
      <c r="N76" s="868"/>
      <c r="O76" s="654"/>
      <c r="P76" s="869" t="s">
        <v>129</v>
      </c>
      <c r="Q76" s="864"/>
      <c r="R76" s="863" t="s">
        <v>130</v>
      </c>
      <c r="S76" s="870"/>
      <c r="T76" s="863" t="s">
        <v>131</v>
      </c>
      <c r="U76" s="870"/>
      <c r="V76" s="871"/>
      <c r="W76" s="863" t="s">
        <v>132</v>
      </c>
      <c r="X76" s="864"/>
      <c r="Y76" s="654" t="s">
        <v>133</v>
      </c>
    </row>
    <row r="77" spans="1:25" s="643" customFormat="1" ht="10.5" x14ac:dyDescent="0.25">
      <c r="A77" s="657"/>
      <c r="B77" s="717"/>
      <c r="C77" s="885"/>
      <c r="D77" s="885"/>
      <c r="E77" s="653" t="s">
        <v>6</v>
      </c>
      <c r="F77" s="641" t="s">
        <v>134</v>
      </c>
      <c r="G77" s="641" t="s">
        <v>135</v>
      </c>
      <c r="H77" s="641" t="s">
        <v>135</v>
      </c>
      <c r="I77" s="659" t="s">
        <v>136</v>
      </c>
      <c r="J77" s="659" t="s">
        <v>137</v>
      </c>
      <c r="K77" s="660" t="s">
        <v>138</v>
      </c>
      <c r="L77" s="641" t="s">
        <v>139</v>
      </c>
      <c r="M77" s="641" t="s">
        <v>140</v>
      </c>
      <c r="N77" s="641" t="s">
        <v>141</v>
      </c>
      <c r="O77" s="641" t="s">
        <v>142</v>
      </c>
      <c r="P77" s="660" t="s">
        <v>138</v>
      </c>
      <c r="Q77" s="660" t="s">
        <v>143</v>
      </c>
      <c r="R77" s="641" t="s">
        <v>138</v>
      </c>
      <c r="S77" s="641" t="s">
        <v>144</v>
      </c>
      <c r="T77" s="641" t="s">
        <v>145</v>
      </c>
      <c r="U77" s="650" t="s">
        <v>146</v>
      </c>
      <c r="V77" s="661" t="s">
        <v>147</v>
      </c>
      <c r="W77" s="662" t="s">
        <v>148</v>
      </c>
      <c r="X77" s="641" t="s">
        <v>149</v>
      </c>
      <c r="Y77" s="641" t="s">
        <v>150</v>
      </c>
    </row>
    <row r="78" spans="1:25" s="643" customFormat="1" ht="10.5" x14ac:dyDescent="0.25">
      <c r="A78" s="644"/>
      <c r="B78" s="645"/>
      <c r="C78" s="885"/>
      <c r="D78" s="885"/>
      <c r="E78" s="646"/>
      <c r="F78" s="650"/>
      <c r="G78" s="650" t="s">
        <v>152</v>
      </c>
      <c r="H78" s="650" t="s">
        <v>153</v>
      </c>
      <c r="I78" s="663" t="s">
        <v>154</v>
      </c>
      <c r="J78" s="663" t="s">
        <v>155</v>
      </c>
      <c r="K78" s="664" t="s">
        <v>156</v>
      </c>
      <c r="L78" s="650" t="s">
        <v>157</v>
      </c>
      <c r="M78" s="650" t="s">
        <v>158</v>
      </c>
      <c r="N78" s="650" t="s">
        <v>159</v>
      </c>
      <c r="O78" s="650" t="s">
        <v>160</v>
      </c>
      <c r="P78" s="664" t="s">
        <v>161</v>
      </c>
      <c r="Q78" s="664" t="s">
        <v>162</v>
      </c>
      <c r="R78" s="650" t="s">
        <v>163</v>
      </c>
      <c r="S78" s="650" t="s">
        <v>164</v>
      </c>
      <c r="T78" s="650" t="s">
        <v>165</v>
      </c>
      <c r="U78" s="650" t="s">
        <v>166</v>
      </c>
      <c r="V78" s="661" t="s">
        <v>167</v>
      </c>
      <c r="W78" s="662" t="s">
        <v>168</v>
      </c>
      <c r="X78" s="650" t="s">
        <v>169</v>
      </c>
      <c r="Y78" s="650" t="s">
        <v>170</v>
      </c>
    </row>
    <row r="79" spans="1:25" s="643" customFormat="1" ht="10.5" x14ac:dyDescent="0.25">
      <c r="A79" s="665"/>
      <c r="B79" s="666"/>
      <c r="C79" s="886"/>
      <c r="D79" s="886"/>
      <c r="E79" s="667"/>
      <c r="F79" s="654" t="s">
        <v>171</v>
      </c>
      <c r="G79" s="654" t="s">
        <v>172</v>
      </c>
      <c r="H79" s="654" t="s">
        <v>173</v>
      </c>
      <c r="I79" s="668" t="s">
        <v>174</v>
      </c>
      <c r="J79" s="668"/>
      <c r="K79" s="669" t="s">
        <v>175</v>
      </c>
      <c r="L79" s="654" t="s">
        <v>176</v>
      </c>
      <c r="M79" s="654"/>
      <c r="N79" s="670" t="s">
        <v>177</v>
      </c>
      <c r="O79" s="654" t="s">
        <v>178</v>
      </c>
      <c r="P79" s="669" t="s">
        <v>179</v>
      </c>
      <c r="Q79" s="669"/>
      <c r="R79" s="654" t="s">
        <v>180</v>
      </c>
      <c r="S79" s="654" t="s">
        <v>181</v>
      </c>
      <c r="T79" s="654" t="s">
        <v>182</v>
      </c>
      <c r="U79" s="670" t="s">
        <v>183</v>
      </c>
      <c r="V79" s="669" t="s">
        <v>184</v>
      </c>
      <c r="W79" s="654" t="s">
        <v>185</v>
      </c>
      <c r="X79" s="654" t="s">
        <v>186</v>
      </c>
      <c r="Y79" s="654" t="s">
        <v>187</v>
      </c>
    </row>
    <row r="80" spans="1:25" s="677" customFormat="1" x14ac:dyDescent="0.3">
      <c r="A80" s="678" t="s">
        <v>805</v>
      </c>
      <c r="B80" s="679"/>
      <c r="C80" s="696">
        <f>165000-25000</f>
        <v>140000</v>
      </c>
      <c r="D80" s="707">
        <f>+F80+G80+H80+I80+J80+K80+L80+M80+N80+O80+P80+Q80+R80+S80+T80+U80+V80+W80+X80+Y80</f>
        <v>139699</v>
      </c>
      <c r="E80" s="696">
        <f t="shared" ref="E80" si="9">+C80-D80</f>
        <v>301</v>
      </c>
      <c r="F80" s="680"/>
      <c r="G80" s="680"/>
      <c r="H80" s="680"/>
      <c r="I80" s="695"/>
      <c r="J80" s="695"/>
      <c r="K80" s="695"/>
      <c r="L80" s="680"/>
      <c r="M80" s="680"/>
      <c r="N80" s="680"/>
      <c r="O80" s="680"/>
      <c r="P80" s="680"/>
      <c r="Q80" s="680"/>
      <c r="R80" s="680"/>
      <c r="S80" s="680"/>
      <c r="T80" s="680"/>
      <c r="U80" s="680"/>
      <c r="V80" s="680">
        <v>139699</v>
      </c>
      <c r="W80" s="680"/>
      <c r="X80" s="680"/>
      <c r="Y80" s="680"/>
    </row>
    <row r="81" spans="1:27" s="677" customFormat="1" x14ac:dyDescent="0.3">
      <c r="A81" s="678" t="s">
        <v>806</v>
      </c>
      <c r="B81" s="679"/>
      <c r="C81" s="696"/>
      <c r="D81" s="707"/>
      <c r="E81" s="696"/>
      <c r="F81" s="680"/>
      <c r="G81" s="680"/>
      <c r="H81" s="680"/>
      <c r="I81" s="695"/>
      <c r="J81" s="695"/>
      <c r="K81" s="695"/>
      <c r="L81" s="680"/>
      <c r="M81" s="680"/>
      <c r="N81" s="680"/>
      <c r="O81" s="680"/>
      <c r="P81" s="680"/>
      <c r="Q81" s="680"/>
      <c r="R81" s="680"/>
      <c r="S81" s="680"/>
      <c r="T81" s="680"/>
      <c r="U81" s="680"/>
      <c r="V81" s="680"/>
      <c r="W81" s="680"/>
      <c r="X81" s="680"/>
      <c r="Y81" s="680"/>
      <c r="AA81" s="677">
        <v>3</v>
      </c>
    </row>
    <row r="82" spans="1:27" s="677" customFormat="1" x14ac:dyDescent="0.3">
      <c r="A82" s="678" t="s">
        <v>807</v>
      </c>
      <c r="B82" s="679"/>
      <c r="C82" s="696">
        <v>25000</v>
      </c>
      <c r="D82" s="707">
        <f>+F82+G82+H82+I82+J82+K82+L82+M82+N82+O82+P82+Q82+R82+S82+T82+U82+V82+W82+X82+Y82</f>
        <v>24520</v>
      </c>
      <c r="E82" s="696">
        <f t="shared" ref="E82" si="10">+C82-D82</f>
        <v>480</v>
      </c>
      <c r="F82" s="680"/>
      <c r="G82" s="680"/>
      <c r="H82" s="680"/>
      <c r="I82" s="695"/>
      <c r="J82" s="695"/>
      <c r="K82" s="695"/>
      <c r="L82" s="680"/>
      <c r="M82" s="680"/>
      <c r="N82" s="680"/>
      <c r="O82" s="680"/>
      <c r="P82" s="680"/>
      <c r="Q82" s="680"/>
      <c r="R82" s="680"/>
      <c r="S82" s="680"/>
      <c r="T82" s="680"/>
      <c r="U82" s="680"/>
      <c r="V82" s="680">
        <v>24520</v>
      </c>
      <c r="W82" s="680"/>
      <c r="X82" s="680"/>
      <c r="Y82" s="680"/>
    </row>
    <row r="83" spans="1:27" s="677" customFormat="1" x14ac:dyDescent="0.3">
      <c r="A83" s="678" t="s">
        <v>808</v>
      </c>
      <c r="B83" s="679"/>
      <c r="C83" s="696"/>
      <c r="D83" s="707"/>
      <c r="E83" s="696"/>
      <c r="F83" s="680"/>
      <c r="G83" s="680"/>
      <c r="H83" s="680"/>
      <c r="I83" s="695"/>
      <c r="J83" s="695"/>
      <c r="K83" s="695"/>
      <c r="L83" s="680"/>
      <c r="M83" s="680"/>
      <c r="N83" s="680"/>
      <c r="O83" s="680"/>
      <c r="P83" s="680"/>
      <c r="Q83" s="680"/>
      <c r="R83" s="680"/>
      <c r="S83" s="680"/>
      <c r="T83" s="680"/>
      <c r="U83" s="680"/>
      <c r="V83" s="680"/>
      <c r="W83" s="680"/>
      <c r="X83" s="680"/>
      <c r="Y83" s="680"/>
    </row>
    <row r="84" spans="1:27" s="677" customFormat="1" x14ac:dyDescent="0.3">
      <c r="A84" s="678" t="s">
        <v>809</v>
      </c>
      <c r="B84" s="679"/>
      <c r="C84" s="696">
        <f>10000+25000</f>
        <v>35000</v>
      </c>
      <c r="D84" s="707">
        <f>+F84+G84+H84+I84+J84+K84+L84+M84+N84+O84+P84+Q84+R84+S84+T84+U84+V84+W84+X84+Y84</f>
        <v>34580</v>
      </c>
      <c r="E84" s="696">
        <f t="shared" ref="E84" si="11">+C84-D84</f>
        <v>420</v>
      </c>
      <c r="F84" s="680"/>
      <c r="G84" s="680"/>
      <c r="H84" s="680"/>
      <c r="I84" s="695"/>
      <c r="J84" s="695"/>
      <c r="K84" s="695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>
        <v>34580</v>
      </c>
      <c r="W84" s="680"/>
      <c r="X84" s="680"/>
      <c r="Y84" s="680"/>
    </row>
    <row r="85" spans="1:27" s="677" customFormat="1" x14ac:dyDescent="0.3">
      <c r="A85" s="724" t="s">
        <v>810</v>
      </c>
      <c r="B85" s="679">
        <v>320300</v>
      </c>
      <c r="C85" s="696"/>
      <c r="D85" s="696"/>
      <c r="E85" s="696"/>
      <c r="F85" s="680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0"/>
      <c r="S85" s="680"/>
      <c r="T85" s="680"/>
      <c r="U85" s="680"/>
      <c r="V85" s="680"/>
      <c r="W85" s="680"/>
      <c r="X85" s="680"/>
      <c r="Y85" s="680"/>
    </row>
    <row r="86" spans="1:27" s="677" customFormat="1" x14ac:dyDescent="0.3">
      <c r="A86" s="733" t="s">
        <v>811</v>
      </c>
      <c r="B86" s="734"/>
      <c r="C86" s="718"/>
      <c r="D86" s="718"/>
      <c r="E86" s="718"/>
      <c r="F86" s="715"/>
      <c r="G86" s="715"/>
      <c r="H86" s="715"/>
      <c r="I86" s="715"/>
      <c r="J86" s="715"/>
      <c r="K86" s="715"/>
      <c r="L86" s="715"/>
      <c r="M86" s="715"/>
      <c r="N86" s="715"/>
      <c r="O86" s="715"/>
      <c r="P86" s="715"/>
      <c r="Q86" s="715"/>
      <c r="R86" s="715"/>
      <c r="S86" s="715"/>
      <c r="T86" s="715"/>
      <c r="U86" s="715"/>
      <c r="V86" s="715"/>
      <c r="W86" s="715"/>
      <c r="X86" s="715"/>
      <c r="Y86" s="715"/>
    </row>
    <row r="87" spans="1:27" s="677" customFormat="1" x14ac:dyDescent="0.3">
      <c r="A87" s="678" t="s">
        <v>812</v>
      </c>
      <c r="B87" s="679"/>
      <c r="C87" s="696">
        <v>3000</v>
      </c>
      <c r="D87" s="707">
        <f t="shared" ref="D87:D96" si="12">+F87+G87+H87+I87+J87+K87+L87+M87+N87+O87+P87+Q87+R87+S87+T87+U87+V87+W87+X87+Y87</f>
        <v>0</v>
      </c>
      <c r="E87" s="696">
        <f t="shared" ref="E87:E96" si="13">+C87-D87</f>
        <v>3000</v>
      </c>
      <c r="F87" s="680"/>
      <c r="G87" s="680"/>
      <c r="H87" s="680"/>
      <c r="I87" s="680"/>
      <c r="J87" s="680"/>
      <c r="K87" s="695"/>
      <c r="L87" s="680"/>
      <c r="M87" s="680"/>
      <c r="N87" s="680"/>
      <c r="O87" s="680"/>
      <c r="P87" s="680"/>
      <c r="Q87" s="680"/>
      <c r="R87" s="680"/>
      <c r="S87" s="680"/>
      <c r="T87" s="680"/>
      <c r="U87" s="680"/>
      <c r="V87" s="680"/>
      <c r="W87" s="680"/>
      <c r="X87" s="680"/>
      <c r="Y87" s="680"/>
    </row>
    <row r="88" spans="1:27" s="677" customFormat="1" x14ac:dyDescent="0.3">
      <c r="A88" s="678" t="s">
        <v>813</v>
      </c>
      <c r="B88" s="679"/>
      <c r="C88" s="696">
        <v>3000</v>
      </c>
      <c r="D88" s="707">
        <f t="shared" si="12"/>
        <v>0</v>
      </c>
      <c r="E88" s="696">
        <f t="shared" si="13"/>
        <v>3000</v>
      </c>
      <c r="F88" s="680"/>
      <c r="G88" s="680"/>
      <c r="H88" s="680"/>
      <c r="I88" s="695"/>
      <c r="J88" s="695"/>
      <c r="K88" s="695"/>
      <c r="L88" s="680"/>
      <c r="M88" s="680"/>
      <c r="N88" s="680"/>
      <c r="O88" s="680"/>
      <c r="P88" s="680"/>
      <c r="Q88" s="680"/>
      <c r="R88" s="680"/>
      <c r="S88" s="680"/>
      <c r="T88" s="680"/>
      <c r="U88" s="680"/>
      <c r="V88" s="680"/>
      <c r="W88" s="680"/>
      <c r="X88" s="680"/>
      <c r="Y88" s="680"/>
    </row>
    <row r="89" spans="1:27" s="677" customFormat="1" x14ac:dyDescent="0.3">
      <c r="A89" s="678" t="s">
        <v>814</v>
      </c>
      <c r="B89" s="679"/>
      <c r="C89" s="696">
        <f>5000-5000</f>
        <v>0</v>
      </c>
      <c r="D89" s="707">
        <f t="shared" si="12"/>
        <v>0</v>
      </c>
      <c r="E89" s="696">
        <f t="shared" si="13"/>
        <v>0</v>
      </c>
      <c r="F89" s="680"/>
      <c r="G89" s="680"/>
      <c r="H89" s="680"/>
      <c r="I89" s="695"/>
      <c r="J89" s="695"/>
      <c r="K89" s="680"/>
      <c r="L89" s="680"/>
      <c r="M89" s="680"/>
      <c r="N89" s="680"/>
      <c r="O89" s="680"/>
      <c r="P89" s="680"/>
      <c r="Q89" s="680"/>
      <c r="R89" s="680"/>
      <c r="S89" s="680"/>
      <c r="T89" s="680"/>
      <c r="U89" s="680"/>
      <c r="V89" s="680"/>
      <c r="W89" s="680"/>
      <c r="X89" s="680"/>
      <c r="Y89" s="680"/>
    </row>
    <row r="90" spans="1:27" s="677" customFormat="1" x14ac:dyDescent="0.3">
      <c r="A90" s="698" t="s">
        <v>815</v>
      </c>
      <c r="B90" s="699"/>
      <c r="C90" s="700">
        <f>68000+10000+10000+15000</f>
        <v>103000</v>
      </c>
      <c r="D90" s="707">
        <f t="shared" si="12"/>
        <v>67474</v>
      </c>
      <c r="E90" s="696">
        <f t="shared" si="13"/>
        <v>35526</v>
      </c>
      <c r="F90" s="695"/>
      <c r="G90" s="695">
        <v>58722</v>
      </c>
      <c r="H90" s="695">
        <v>0</v>
      </c>
      <c r="I90" s="695"/>
      <c r="J90" s="695"/>
      <c r="K90" s="710">
        <v>5732</v>
      </c>
      <c r="L90" s="695"/>
      <c r="M90" s="695"/>
      <c r="N90" s="695"/>
      <c r="O90" s="695"/>
      <c r="P90" s="695"/>
      <c r="Q90" s="695"/>
      <c r="R90" s="710">
        <v>3020</v>
      </c>
      <c r="S90" s="695"/>
      <c r="T90" s="695"/>
      <c r="U90" s="695"/>
      <c r="V90" s="695"/>
      <c r="W90" s="695"/>
      <c r="X90" s="695"/>
      <c r="Y90" s="695"/>
    </row>
    <row r="91" spans="1:27" s="677" customFormat="1" x14ac:dyDescent="0.3">
      <c r="A91" s="705" t="s">
        <v>816</v>
      </c>
      <c r="B91" s="679"/>
      <c r="C91" s="696">
        <v>3000</v>
      </c>
      <c r="D91" s="707">
        <f t="shared" si="12"/>
        <v>1100</v>
      </c>
      <c r="E91" s="696">
        <f t="shared" si="13"/>
        <v>1900</v>
      </c>
      <c r="F91" s="680"/>
      <c r="G91" s="680">
        <v>1100</v>
      </c>
      <c r="H91" s="680"/>
      <c r="I91" s="695"/>
      <c r="J91" s="695"/>
      <c r="K91" s="680"/>
      <c r="L91" s="680"/>
      <c r="M91" s="680"/>
      <c r="N91" s="680"/>
      <c r="O91" s="680"/>
      <c r="P91" s="680"/>
      <c r="Q91" s="680"/>
      <c r="R91" s="680"/>
      <c r="S91" s="680"/>
      <c r="T91" s="680"/>
      <c r="U91" s="680"/>
      <c r="V91" s="680"/>
      <c r="W91" s="680"/>
      <c r="X91" s="680"/>
      <c r="Y91" s="680"/>
    </row>
    <row r="92" spans="1:27" s="677" customFormat="1" x14ac:dyDescent="0.3">
      <c r="A92" s="705" t="s">
        <v>817</v>
      </c>
      <c r="B92" s="679"/>
      <c r="C92" s="696">
        <f>50000-50000</f>
        <v>0</v>
      </c>
      <c r="D92" s="707">
        <f t="shared" si="12"/>
        <v>0</v>
      </c>
      <c r="E92" s="696">
        <f t="shared" si="13"/>
        <v>0</v>
      </c>
      <c r="F92" s="680"/>
      <c r="G92" s="680"/>
      <c r="H92" s="680"/>
      <c r="I92" s="695"/>
      <c r="J92" s="695"/>
      <c r="K92" s="695"/>
      <c r="L92" s="680"/>
      <c r="M92" s="680"/>
      <c r="N92" s="680"/>
      <c r="O92" s="680"/>
      <c r="P92" s="680"/>
      <c r="Q92" s="680"/>
      <c r="R92" s="680"/>
      <c r="S92" s="680"/>
      <c r="T92" s="680"/>
      <c r="U92" s="680"/>
      <c r="V92" s="680"/>
      <c r="W92" s="680"/>
      <c r="X92" s="680"/>
      <c r="Y92" s="680"/>
    </row>
    <row r="93" spans="1:27" s="677" customFormat="1" x14ac:dyDescent="0.3">
      <c r="A93" s="678" t="s">
        <v>818</v>
      </c>
      <c r="B93" s="679"/>
      <c r="C93" s="696">
        <f>50000+30000+120000+50000+60000+20000</f>
        <v>330000</v>
      </c>
      <c r="D93" s="707">
        <f t="shared" si="12"/>
        <v>330000</v>
      </c>
      <c r="E93" s="696">
        <f t="shared" si="13"/>
        <v>0</v>
      </c>
      <c r="F93" s="680"/>
      <c r="G93" s="680">
        <v>330000</v>
      </c>
      <c r="H93" s="680"/>
      <c r="I93" s="695"/>
      <c r="J93" s="695"/>
      <c r="K93" s="695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</row>
    <row r="94" spans="1:27" s="677" customFormat="1" x14ac:dyDescent="0.3">
      <c r="A94" s="678" t="s">
        <v>819</v>
      </c>
      <c r="B94" s="679"/>
      <c r="C94" s="696">
        <f>70000-19000</f>
        <v>51000</v>
      </c>
      <c r="D94" s="707">
        <f t="shared" si="12"/>
        <v>50894</v>
      </c>
      <c r="E94" s="696">
        <f t="shared" si="13"/>
        <v>106</v>
      </c>
      <c r="F94" s="680"/>
      <c r="G94" s="680"/>
      <c r="H94" s="680"/>
      <c r="I94" s="695"/>
      <c r="J94" s="710">
        <v>50894</v>
      </c>
      <c r="K94" s="695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</row>
    <row r="95" spans="1:27" s="677" customFormat="1" x14ac:dyDescent="0.3">
      <c r="A95" s="705" t="s">
        <v>820</v>
      </c>
      <c r="B95" s="706"/>
      <c r="C95" s="707">
        <v>20000</v>
      </c>
      <c r="D95" s="707">
        <f t="shared" si="12"/>
        <v>0</v>
      </c>
      <c r="E95" s="696">
        <f t="shared" si="13"/>
        <v>20000</v>
      </c>
      <c r="F95" s="680"/>
      <c r="G95" s="680"/>
      <c r="H95" s="680"/>
      <c r="I95" s="680"/>
      <c r="J95" s="680">
        <v>0</v>
      </c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</row>
    <row r="96" spans="1:27" s="677" customFormat="1" x14ac:dyDescent="0.3">
      <c r="A96" s="705" t="s">
        <v>821</v>
      </c>
      <c r="B96" s="706"/>
      <c r="C96" s="735">
        <f>60000-10000-30000+20000+20000+20000</f>
        <v>80000</v>
      </c>
      <c r="D96" s="707">
        <f t="shared" si="12"/>
        <v>67500</v>
      </c>
      <c r="E96" s="696">
        <f t="shared" si="13"/>
        <v>12500</v>
      </c>
      <c r="F96" s="695"/>
      <c r="G96" s="695"/>
      <c r="H96" s="695"/>
      <c r="I96" s="695"/>
      <c r="J96" s="710">
        <v>67500</v>
      </c>
      <c r="K96" s="680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695"/>
      <c r="W96" s="695"/>
      <c r="X96" s="695"/>
      <c r="Y96" s="695"/>
    </row>
    <row r="97" spans="1:25" s="677" customFormat="1" x14ac:dyDescent="0.3">
      <c r="A97" s="736"/>
      <c r="B97" s="737"/>
      <c r="C97" s="727"/>
      <c r="D97" s="727"/>
      <c r="E97" s="720"/>
      <c r="F97" s="728"/>
      <c r="G97" s="728"/>
      <c r="H97" s="728"/>
      <c r="I97" s="728"/>
      <c r="J97" s="728"/>
      <c r="K97" s="728"/>
      <c r="L97" s="728"/>
      <c r="M97" s="728"/>
      <c r="N97" s="728"/>
      <c r="O97" s="728"/>
      <c r="P97" s="728"/>
      <c r="Q97" s="728"/>
      <c r="R97" s="728"/>
      <c r="S97" s="728"/>
      <c r="T97" s="728"/>
      <c r="U97" s="728"/>
      <c r="V97" s="728"/>
      <c r="W97" s="728"/>
      <c r="X97" s="728"/>
      <c r="Y97" s="728"/>
    </row>
    <row r="98" spans="1:25" s="677" customFormat="1" x14ac:dyDescent="0.3">
      <c r="A98" s="738"/>
      <c r="B98" s="739"/>
      <c r="C98" s="731"/>
      <c r="D98" s="731"/>
      <c r="E98" s="730"/>
      <c r="F98" s="732"/>
      <c r="G98" s="732"/>
      <c r="H98" s="732"/>
      <c r="I98" s="732"/>
      <c r="J98" s="732"/>
      <c r="K98" s="732"/>
      <c r="L98" s="732"/>
      <c r="M98" s="732"/>
      <c r="N98" s="732"/>
      <c r="O98" s="732"/>
      <c r="P98" s="732"/>
      <c r="Q98" s="732"/>
      <c r="R98" s="732"/>
      <c r="S98" s="732"/>
      <c r="T98" s="732"/>
      <c r="U98" s="732"/>
      <c r="V98" s="732"/>
      <c r="W98" s="732"/>
      <c r="X98" s="732"/>
      <c r="Y98" s="732"/>
    </row>
    <row r="99" spans="1:25" s="677" customFormat="1" x14ac:dyDescent="0.3">
      <c r="A99" s="738"/>
      <c r="B99" s="739"/>
      <c r="C99" s="731"/>
      <c r="D99" s="731"/>
      <c r="E99" s="730"/>
      <c r="F99" s="732"/>
      <c r="G99" s="732"/>
      <c r="H99" s="732"/>
      <c r="I99" s="732"/>
      <c r="J99" s="732"/>
      <c r="K99" s="732"/>
      <c r="L99" s="732"/>
      <c r="M99" s="732"/>
      <c r="N99" s="732"/>
      <c r="O99" s="732"/>
      <c r="P99" s="732"/>
      <c r="Q99" s="732"/>
      <c r="R99" s="732"/>
      <c r="S99" s="732"/>
      <c r="T99" s="732"/>
      <c r="U99" s="732"/>
      <c r="V99" s="732"/>
      <c r="W99" s="732"/>
      <c r="X99" s="732"/>
      <c r="Y99" s="732"/>
    </row>
    <row r="100" spans="1:25" s="677" customFormat="1" x14ac:dyDescent="0.3">
      <c r="A100" s="738"/>
      <c r="B100" s="739"/>
      <c r="C100" s="731"/>
      <c r="D100" s="731"/>
      <c r="E100" s="730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2"/>
      <c r="T100" s="732"/>
      <c r="U100" s="732"/>
      <c r="V100" s="732"/>
      <c r="W100" s="732"/>
      <c r="X100" s="732"/>
      <c r="Y100" s="732"/>
    </row>
    <row r="101" spans="1:25" s="677" customFormat="1" x14ac:dyDescent="0.3">
      <c r="A101" s="738"/>
      <c r="B101" s="739"/>
      <c r="C101" s="731"/>
      <c r="D101" s="731"/>
      <c r="E101" s="730"/>
      <c r="F101" s="732"/>
      <c r="G101" s="732"/>
      <c r="H101" s="732"/>
      <c r="I101" s="732"/>
      <c r="J101" s="732"/>
      <c r="K101" s="732"/>
      <c r="L101" s="732"/>
      <c r="M101" s="732"/>
      <c r="N101" s="732"/>
      <c r="O101" s="732"/>
      <c r="P101" s="732"/>
      <c r="Q101" s="732"/>
      <c r="R101" s="732"/>
      <c r="S101" s="732"/>
      <c r="T101" s="732"/>
      <c r="U101" s="732"/>
      <c r="V101" s="732"/>
      <c r="W101" s="732"/>
      <c r="X101" s="732"/>
      <c r="Y101" s="732"/>
    </row>
    <row r="102" spans="1:25" s="677" customFormat="1" x14ac:dyDescent="0.3">
      <c r="A102" s="738"/>
      <c r="B102" s="739"/>
      <c r="C102" s="731"/>
      <c r="D102" s="731"/>
      <c r="E102" s="730"/>
      <c r="F102" s="732"/>
      <c r="G102" s="732"/>
      <c r="H102" s="732"/>
      <c r="I102" s="732"/>
      <c r="J102" s="732"/>
      <c r="K102" s="732"/>
      <c r="L102" s="732"/>
      <c r="M102" s="732"/>
      <c r="N102" s="732"/>
      <c r="O102" s="732"/>
      <c r="P102" s="732"/>
      <c r="Q102" s="732"/>
      <c r="R102" s="732"/>
      <c r="S102" s="732"/>
      <c r="T102" s="732"/>
      <c r="U102" s="732"/>
      <c r="V102" s="732"/>
      <c r="W102" s="732"/>
      <c r="X102" s="732"/>
      <c r="Y102" s="732"/>
    </row>
    <row r="103" spans="1:25" s="677" customFormat="1" x14ac:dyDescent="0.3">
      <c r="A103" s="738"/>
      <c r="B103" s="739"/>
      <c r="C103" s="731"/>
      <c r="D103" s="731"/>
      <c r="E103" s="730"/>
      <c r="F103" s="732"/>
      <c r="G103" s="732"/>
      <c r="H103" s="732"/>
      <c r="I103" s="732"/>
      <c r="J103" s="732"/>
      <c r="K103" s="732"/>
      <c r="L103" s="732"/>
      <c r="M103" s="732"/>
      <c r="N103" s="732"/>
      <c r="O103" s="732"/>
      <c r="P103" s="732"/>
      <c r="Q103" s="732"/>
      <c r="R103" s="732"/>
      <c r="S103" s="732"/>
      <c r="T103" s="732"/>
      <c r="U103" s="732"/>
      <c r="V103" s="732"/>
      <c r="W103" s="732"/>
      <c r="X103" s="732"/>
      <c r="Y103" s="732"/>
    </row>
    <row r="104" spans="1:25" s="677" customFormat="1" x14ac:dyDescent="0.3">
      <c r="A104" s="738"/>
      <c r="B104" s="739"/>
      <c r="C104" s="731"/>
      <c r="D104" s="731"/>
      <c r="E104" s="730"/>
      <c r="F104" s="732"/>
      <c r="G104" s="732"/>
      <c r="H104" s="732"/>
      <c r="I104" s="732"/>
      <c r="J104" s="732"/>
      <c r="K104" s="732"/>
      <c r="L104" s="732"/>
      <c r="M104" s="732"/>
      <c r="N104" s="732"/>
      <c r="O104" s="732"/>
      <c r="P104" s="732"/>
      <c r="Q104" s="732"/>
      <c r="R104" s="732"/>
      <c r="S104" s="732"/>
      <c r="T104" s="732"/>
      <c r="U104" s="732"/>
      <c r="V104" s="732"/>
      <c r="W104" s="732"/>
      <c r="X104" s="732"/>
      <c r="Y104" s="732"/>
    </row>
    <row r="105" spans="1:25" s="677" customFormat="1" x14ac:dyDescent="0.3">
      <c r="A105" s="738"/>
      <c r="B105" s="739"/>
      <c r="C105" s="731"/>
      <c r="D105" s="731"/>
      <c r="E105" s="730"/>
      <c r="F105" s="732"/>
      <c r="G105" s="732"/>
      <c r="H105" s="732"/>
      <c r="I105" s="732"/>
      <c r="J105" s="732"/>
      <c r="K105" s="732"/>
      <c r="L105" s="732"/>
      <c r="M105" s="732"/>
      <c r="N105" s="732"/>
      <c r="O105" s="732"/>
      <c r="P105" s="732"/>
      <c r="Q105" s="732"/>
      <c r="R105" s="732"/>
      <c r="S105" s="732"/>
      <c r="T105" s="732"/>
      <c r="U105" s="732"/>
      <c r="V105" s="732"/>
      <c r="W105" s="732"/>
      <c r="X105" s="732"/>
      <c r="Y105" s="732"/>
    </row>
    <row r="106" spans="1:25" s="677" customFormat="1" x14ac:dyDescent="0.3">
      <c r="A106" s="738"/>
      <c r="B106" s="739"/>
      <c r="C106" s="731"/>
      <c r="D106" s="731"/>
      <c r="E106" s="730"/>
      <c r="F106" s="732"/>
      <c r="G106" s="732"/>
      <c r="H106" s="732"/>
      <c r="I106" s="732"/>
      <c r="J106" s="732"/>
      <c r="K106" s="732"/>
      <c r="L106" s="732"/>
      <c r="M106" s="732"/>
      <c r="N106" s="732"/>
      <c r="O106" s="732"/>
      <c r="P106" s="732"/>
      <c r="Q106" s="732"/>
      <c r="R106" s="732"/>
      <c r="S106" s="732"/>
      <c r="T106" s="732"/>
      <c r="U106" s="732"/>
      <c r="V106" s="732"/>
      <c r="W106" s="732"/>
      <c r="X106" s="732"/>
      <c r="Y106" s="732"/>
    </row>
    <row r="107" spans="1:25" s="677" customFormat="1" x14ac:dyDescent="0.3">
      <c r="A107" s="738"/>
      <c r="B107" s="739"/>
      <c r="C107" s="731"/>
      <c r="D107" s="731"/>
      <c r="E107" s="730"/>
      <c r="F107" s="732"/>
      <c r="G107" s="732"/>
      <c r="H107" s="732"/>
      <c r="I107" s="732"/>
      <c r="J107" s="732"/>
      <c r="K107" s="732"/>
      <c r="L107" s="732"/>
      <c r="M107" s="732"/>
      <c r="N107" s="732"/>
      <c r="O107" s="732"/>
      <c r="P107" s="732"/>
      <c r="Q107" s="732"/>
      <c r="R107" s="732"/>
      <c r="S107" s="732"/>
      <c r="T107" s="732"/>
      <c r="U107" s="732"/>
      <c r="V107" s="732"/>
      <c r="W107" s="732"/>
      <c r="X107" s="732"/>
      <c r="Y107" s="732"/>
    </row>
    <row r="108" spans="1:25" s="677" customFormat="1" x14ac:dyDescent="0.3">
      <c r="A108" s="738"/>
      <c r="B108" s="739"/>
      <c r="C108" s="731"/>
      <c r="D108" s="731"/>
      <c r="E108" s="730"/>
      <c r="F108" s="732"/>
      <c r="G108" s="732"/>
      <c r="H108" s="732"/>
      <c r="I108" s="732"/>
      <c r="J108" s="732"/>
      <c r="K108" s="732"/>
      <c r="L108" s="732"/>
      <c r="M108" s="732"/>
      <c r="N108" s="732"/>
      <c r="O108" s="732"/>
      <c r="P108" s="732"/>
      <c r="Q108" s="732"/>
      <c r="R108" s="732"/>
      <c r="S108" s="732"/>
      <c r="T108" s="732"/>
      <c r="U108" s="732"/>
      <c r="V108" s="732"/>
      <c r="W108" s="732"/>
      <c r="X108" s="732"/>
      <c r="Y108" s="732"/>
    </row>
    <row r="109" spans="1:25" s="677" customFormat="1" x14ac:dyDescent="0.3">
      <c r="A109" s="738"/>
      <c r="B109" s="739"/>
      <c r="C109" s="731"/>
      <c r="D109" s="731"/>
      <c r="E109" s="730"/>
      <c r="F109" s="732"/>
      <c r="G109" s="732"/>
      <c r="H109" s="732"/>
      <c r="I109" s="732"/>
      <c r="J109" s="732"/>
      <c r="K109" s="732"/>
      <c r="L109" s="732"/>
      <c r="M109" s="732"/>
      <c r="N109" s="732"/>
      <c r="O109" s="732"/>
      <c r="P109" s="732"/>
      <c r="Q109" s="732"/>
      <c r="R109" s="732"/>
      <c r="S109" s="732"/>
      <c r="T109" s="732"/>
      <c r="U109" s="732"/>
      <c r="V109" s="732"/>
      <c r="W109" s="732"/>
      <c r="X109" s="732"/>
      <c r="Y109" s="732"/>
    </row>
    <row r="110" spans="1:25" ht="23.25" x14ac:dyDescent="0.5">
      <c r="A110" s="883" t="s">
        <v>76</v>
      </c>
      <c r="B110" s="883"/>
      <c r="C110" s="883"/>
      <c r="D110" s="883"/>
      <c r="E110" s="883"/>
      <c r="F110" s="883"/>
      <c r="G110" s="883"/>
      <c r="H110" s="883"/>
      <c r="I110" s="883"/>
      <c r="J110" s="883"/>
      <c r="K110" s="883"/>
      <c r="L110" s="883"/>
      <c r="M110" s="883"/>
      <c r="N110" s="883"/>
      <c r="O110" s="883"/>
      <c r="P110" s="883"/>
      <c r="Q110" s="883"/>
      <c r="R110" s="883"/>
      <c r="S110" s="883"/>
      <c r="T110" s="883"/>
      <c r="U110" s="883"/>
      <c r="V110" s="883"/>
      <c r="W110" s="883"/>
      <c r="X110" s="883"/>
      <c r="Y110" s="883"/>
    </row>
    <row r="111" spans="1:25" ht="23.25" x14ac:dyDescent="0.5">
      <c r="A111" s="883" t="s">
        <v>792</v>
      </c>
      <c r="B111" s="883"/>
      <c r="C111" s="883"/>
      <c r="D111" s="883"/>
      <c r="E111" s="883"/>
      <c r="F111" s="883"/>
      <c r="G111" s="883"/>
      <c r="H111" s="883"/>
      <c r="I111" s="883"/>
      <c r="J111" s="883"/>
      <c r="K111" s="883"/>
      <c r="L111" s="883"/>
      <c r="M111" s="883"/>
      <c r="N111" s="883"/>
      <c r="O111" s="883"/>
      <c r="P111" s="883"/>
      <c r="Q111" s="883"/>
      <c r="R111" s="883"/>
      <c r="S111" s="883"/>
      <c r="T111" s="883"/>
      <c r="U111" s="883"/>
      <c r="V111" s="883"/>
      <c r="W111" s="883"/>
      <c r="X111" s="883"/>
      <c r="Y111" s="883"/>
    </row>
    <row r="112" spans="1:25" ht="23.25" x14ac:dyDescent="0.5">
      <c r="A112" s="883" t="s">
        <v>793</v>
      </c>
      <c r="B112" s="883"/>
      <c r="C112" s="883"/>
      <c r="D112" s="883"/>
      <c r="E112" s="883"/>
      <c r="F112" s="883"/>
      <c r="G112" s="883"/>
      <c r="H112" s="883"/>
      <c r="I112" s="883"/>
      <c r="J112" s="883"/>
      <c r="K112" s="883"/>
      <c r="L112" s="883"/>
      <c r="M112" s="883"/>
      <c r="N112" s="883"/>
      <c r="O112" s="883"/>
      <c r="P112" s="883"/>
      <c r="Q112" s="883"/>
      <c r="R112" s="883"/>
      <c r="S112" s="883"/>
      <c r="T112" s="883"/>
      <c r="U112" s="883"/>
      <c r="V112" s="883"/>
      <c r="W112" s="883"/>
      <c r="X112" s="883"/>
      <c r="Y112" s="883"/>
    </row>
    <row r="113" spans="1:27" s="643" customFormat="1" ht="10.5" x14ac:dyDescent="0.25">
      <c r="A113" s="638"/>
      <c r="B113" s="639"/>
      <c r="C113" s="884" t="s">
        <v>6</v>
      </c>
      <c r="D113" s="884" t="s">
        <v>794</v>
      </c>
      <c r="E113" s="640"/>
      <c r="F113" s="641" t="s">
        <v>41</v>
      </c>
      <c r="G113" s="875" t="s">
        <v>110</v>
      </c>
      <c r="H113" s="876"/>
      <c r="I113" s="872" t="s">
        <v>111</v>
      </c>
      <c r="J113" s="887"/>
      <c r="K113" s="874" t="s">
        <v>112</v>
      </c>
      <c r="L113" s="873"/>
      <c r="M113" s="888" t="s">
        <v>113</v>
      </c>
      <c r="N113" s="889"/>
      <c r="O113" s="642" t="s">
        <v>113</v>
      </c>
      <c r="P113" s="872" t="s">
        <v>113</v>
      </c>
      <c r="Q113" s="873"/>
      <c r="R113" s="874" t="s">
        <v>114</v>
      </c>
      <c r="S113" s="875"/>
      <c r="T113" s="874" t="s">
        <v>115</v>
      </c>
      <c r="U113" s="875"/>
      <c r="V113" s="876"/>
      <c r="W113" s="874" t="s">
        <v>116</v>
      </c>
      <c r="X113" s="873"/>
      <c r="Y113" s="642" t="s">
        <v>113</v>
      </c>
    </row>
    <row r="114" spans="1:27" s="643" customFormat="1" ht="10.5" x14ac:dyDescent="0.25">
      <c r="A114" s="644"/>
      <c r="B114" s="645"/>
      <c r="C114" s="885"/>
      <c r="D114" s="885"/>
      <c r="E114" s="646"/>
      <c r="F114" s="647"/>
      <c r="G114" s="865"/>
      <c r="H114" s="866"/>
      <c r="I114" s="877" t="s">
        <v>117</v>
      </c>
      <c r="J114" s="878"/>
      <c r="K114" s="648"/>
      <c r="L114" s="649"/>
      <c r="M114" s="879" t="s">
        <v>118</v>
      </c>
      <c r="N114" s="880"/>
      <c r="O114" s="650" t="s">
        <v>119</v>
      </c>
      <c r="P114" s="877" t="s">
        <v>120</v>
      </c>
      <c r="Q114" s="881"/>
      <c r="R114" s="644"/>
      <c r="S114" s="651"/>
      <c r="T114" s="879" t="s">
        <v>121</v>
      </c>
      <c r="U114" s="882"/>
      <c r="V114" s="880"/>
      <c r="W114" s="644" t="s">
        <v>13</v>
      </c>
      <c r="X114" s="649"/>
      <c r="Y114" s="652" t="s">
        <v>122</v>
      </c>
    </row>
    <row r="115" spans="1:27" s="643" customFormat="1" ht="10.5" x14ac:dyDescent="0.25">
      <c r="A115" s="644" t="s">
        <v>123</v>
      </c>
      <c r="B115" s="645"/>
      <c r="C115" s="885"/>
      <c r="D115" s="885"/>
      <c r="E115" s="653" t="s">
        <v>799</v>
      </c>
      <c r="F115" s="654" t="s">
        <v>124</v>
      </c>
      <c r="G115" s="865" t="s">
        <v>125</v>
      </c>
      <c r="H115" s="866"/>
      <c r="I115" s="655"/>
      <c r="J115" s="656" t="s">
        <v>126</v>
      </c>
      <c r="K115" s="863" t="s">
        <v>127</v>
      </c>
      <c r="L115" s="864"/>
      <c r="M115" s="867" t="s">
        <v>128</v>
      </c>
      <c r="N115" s="868"/>
      <c r="O115" s="654"/>
      <c r="P115" s="869" t="s">
        <v>129</v>
      </c>
      <c r="Q115" s="864"/>
      <c r="R115" s="863" t="s">
        <v>130</v>
      </c>
      <c r="S115" s="870"/>
      <c r="T115" s="863" t="s">
        <v>131</v>
      </c>
      <c r="U115" s="870"/>
      <c r="V115" s="871"/>
      <c r="W115" s="863" t="s">
        <v>132</v>
      </c>
      <c r="X115" s="864"/>
      <c r="Y115" s="654" t="s">
        <v>133</v>
      </c>
    </row>
    <row r="116" spans="1:27" s="643" customFormat="1" ht="10.5" x14ac:dyDescent="0.25">
      <c r="A116" s="657"/>
      <c r="B116" s="717"/>
      <c r="C116" s="885"/>
      <c r="D116" s="885"/>
      <c r="E116" s="653" t="s">
        <v>6</v>
      </c>
      <c r="F116" s="641" t="s">
        <v>134</v>
      </c>
      <c r="G116" s="641" t="s">
        <v>135</v>
      </c>
      <c r="H116" s="641" t="s">
        <v>135</v>
      </c>
      <c r="I116" s="659" t="s">
        <v>136</v>
      </c>
      <c r="J116" s="659" t="s">
        <v>137</v>
      </c>
      <c r="K116" s="660" t="s">
        <v>138</v>
      </c>
      <c r="L116" s="641" t="s">
        <v>139</v>
      </c>
      <c r="M116" s="641" t="s">
        <v>140</v>
      </c>
      <c r="N116" s="641" t="s">
        <v>141</v>
      </c>
      <c r="O116" s="641" t="s">
        <v>142</v>
      </c>
      <c r="P116" s="660" t="s">
        <v>138</v>
      </c>
      <c r="Q116" s="660" t="s">
        <v>143</v>
      </c>
      <c r="R116" s="641" t="s">
        <v>138</v>
      </c>
      <c r="S116" s="641" t="s">
        <v>144</v>
      </c>
      <c r="T116" s="641" t="s">
        <v>145</v>
      </c>
      <c r="U116" s="650" t="s">
        <v>146</v>
      </c>
      <c r="V116" s="661" t="s">
        <v>147</v>
      </c>
      <c r="W116" s="662" t="s">
        <v>148</v>
      </c>
      <c r="X116" s="641" t="s">
        <v>149</v>
      </c>
      <c r="Y116" s="641" t="s">
        <v>150</v>
      </c>
    </row>
    <row r="117" spans="1:27" s="643" customFormat="1" ht="10.5" x14ac:dyDescent="0.25">
      <c r="A117" s="644"/>
      <c r="B117" s="645"/>
      <c r="C117" s="885"/>
      <c r="D117" s="885"/>
      <c r="E117" s="646"/>
      <c r="F117" s="650"/>
      <c r="G117" s="650" t="s">
        <v>152</v>
      </c>
      <c r="H117" s="650" t="s">
        <v>153</v>
      </c>
      <c r="I117" s="663" t="s">
        <v>154</v>
      </c>
      <c r="J117" s="663" t="s">
        <v>155</v>
      </c>
      <c r="K117" s="664" t="s">
        <v>156</v>
      </c>
      <c r="L117" s="650" t="s">
        <v>157</v>
      </c>
      <c r="M117" s="650" t="s">
        <v>158</v>
      </c>
      <c r="N117" s="650" t="s">
        <v>159</v>
      </c>
      <c r="O117" s="650" t="s">
        <v>160</v>
      </c>
      <c r="P117" s="664" t="s">
        <v>161</v>
      </c>
      <c r="Q117" s="664" t="s">
        <v>162</v>
      </c>
      <c r="R117" s="650" t="s">
        <v>163</v>
      </c>
      <c r="S117" s="650" t="s">
        <v>164</v>
      </c>
      <c r="T117" s="650" t="s">
        <v>165</v>
      </c>
      <c r="U117" s="650" t="s">
        <v>166</v>
      </c>
      <c r="V117" s="661" t="s">
        <v>167</v>
      </c>
      <c r="W117" s="662" t="s">
        <v>168</v>
      </c>
      <c r="X117" s="650" t="s">
        <v>169</v>
      </c>
      <c r="Y117" s="650" t="s">
        <v>170</v>
      </c>
    </row>
    <row r="118" spans="1:27" s="643" customFormat="1" ht="10.5" x14ac:dyDescent="0.25">
      <c r="A118" s="665"/>
      <c r="B118" s="666"/>
      <c r="C118" s="886"/>
      <c r="D118" s="886"/>
      <c r="E118" s="667"/>
      <c r="F118" s="654" t="s">
        <v>171</v>
      </c>
      <c r="G118" s="654" t="s">
        <v>172</v>
      </c>
      <c r="H118" s="654" t="s">
        <v>173</v>
      </c>
      <c r="I118" s="668" t="s">
        <v>174</v>
      </c>
      <c r="J118" s="668"/>
      <c r="K118" s="669" t="s">
        <v>175</v>
      </c>
      <c r="L118" s="654" t="s">
        <v>176</v>
      </c>
      <c r="M118" s="654"/>
      <c r="N118" s="670" t="s">
        <v>177</v>
      </c>
      <c r="O118" s="654" t="s">
        <v>178</v>
      </c>
      <c r="P118" s="669" t="s">
        <v>179</v>
      </c>
      <c r="Q118" s="669"/>
      <c r="R118" s="654" t="s">
        <v>180</v>
      </c>
      <c r="S118" s="654" t="s">
        <v>181</v>
      </c>
      <c r="T118" s="654" t="s">
        <v>182</v>
      </c>
      <c r="U118" s="670" t="s">
        <v>183</v>
      </c>
      <c r="V118" s="669" t="s">
        <v>184</v>
      </c>
      <c r="W118" s="654" t="s">
        <v>185</v>
      </c>
      <c r="X118" s="654" t="s">
        <v>186</v>
      </c>
      <c r="Y118" s="654" t="s">
        <v>187</v>
      </c>
    </row>
    <row r="119" spans="1:27" s="677" customFormat="1" x14ac:dyDescent="0.3">
      <c r="A119" s="740" t="s">
        <v>822</v>
      </c>
      <c r="B119" s="741"/>
      <c r="C119" s="742">
        <v>410000</v>
      </c>
      <c r="D119" s="707">
        <f>+F119+G119+H119+I119+J119+K119+L119+M119+N119+O119+P119+Q119+R119+S119+T119+U119+V119+W119+X119+Y119</f>
        <v>247440</v>
      </c>
      <c r="E119" s="696">
        <f t="shared" ref="E119" si="14">+C119-D119</f>
        <v>162560</v>
      </c>
      <c r="F119" s="743"/>
      <c r="G119" s="743"/>
      <c r="H119" s="744"/>
      <c r="I119" s="745"/>
      <c r="J119" s="746"/>
      <c r="K119" s="743"/>
      <c r="L119" s="747">
        <v>247440</v>
      </c>
      <c r="M119" s="743"/>
      <c r="N119" s="748"/>
      <c r="O119" s="744"/>
      <c r="P119" s="749"/>
      <c r="Q119" s="749"/>
      <c r="R119" s="743"/>
      <c r="S119" s="743"/>
      <c r="T119" s="743"/>
      <c r="U119" s="750"/>
      <c r="V119" s="751"/>
      <c r="W119" s="743"/>
      <c r="X119" s="743"/>
      <c r="Y119" s="743"/>
    </row>
    <row r="120" spans="1:27" s="677" customFormat="1" x14ac:dyDescent="0.3">
      <c r="A120" s="698" t="s">
        <v>823</v>
      </c>
      <c r="B120" s="752"/>
      <c r="C120" s="707"/>
      <c r="D120" s="707"/>
      <c r="E120" s="696"/>
      <c r="F120" s="680"/>
      <c r="G120" s="680"/>
      <c r="H120" s="680"/>
      <c r="I120" s="695"/>
      <c r="J120" s="695"/>
      <c r="K120" s="680"/>
      <c r="L120" s="680"/>
      <c r="M120" s="680"/>
      <c r="N120" s="695"/>
      <c r="O120" s="695"/>
      <c r="P120" s="695"/>
      <c r="Q120" s="695"/>
      <c r="R120" s="680"/>
      <c r="S120" s="680"/>
      <c r="T120" s="680"/>
      <c r="U120" s="680"/>
      <c r="V120" s="680"/>
      <c r="W120" s="680"/>
      <c r="X120" s="680"/>
      <c r="Y120" s="680"/>
    </row>
    <row r="121" spans="1:27" s="677" customFormat="1" x14ac:dyDescent="0.3">
      <c r="A121" s="678" t="s">
        <v>824</v>
      </c>
      <c r="B121" s="704"/>
      <c r="C121" s="696">
        <v>10000</v>
      </c>
      <c r="D121" s="707">
        <f>+F121+G121+H121+I121+J121+K121+L121+M121+N121+O121+P121+Q121+R121+S121+T121+U121+V121+W121+X121+Y121</f>
        <v>5040</v>
      </c>
      <c r="E121" s="696">
        <f t="shared" ref="E121:E124" si="15">+C121-D121</f>
        <v>4960</v>
      </c>
      <c r="F121" s="680"/>
      <c r="G121" s="680"/>
      <c r="H121" s="680"/>
      <c r="I121" s="680"/>
      <c r="J121" s="680"/>
      <c r="K121" s="680"/>
      <c r="L121" s="680"/>
      <c r="M121" s="680"/>
      <c r="N121" s="680"/>
      <c r="O121" s="680"/>
      <c r="P121" s="680"/>
      <c r="Q121" s="708">
        <v>5040</v>
      </c>
      <c r="R121" s="680"/>
      <c r="S121" s="680"/>
      <c r="T121" s="680"/>
      <c r="U121" s="680"/>
      <c r="V121" s="680"/>
      <c r="W121" s="680"/>
      <c r="X121" s="680"/>
      <c r="Y121" s="680"/>
    </row>
    <row r="122" spans="1:27" s="677" customFormat="1" x14ac:dyDescent="0.3">
      <c r="A122" s="678" t="s">
        <v>825</v>
      </c>
      <c r="B122" s="704"/>
      <c r="C122" s="696">
        <f>70000-60000</f>
        <v>10000</v>
      </c>
      <c r="D122" s="707">
        <f t="shared" ref="D122:D124" si="16">+F122+G122+H122+I122+J122+K122+L122+M122+N122+O122+P122+Q122+R122+S122+T122+U122+V122+W122+X122+Y122</f>
        <v>0</v>
      </c>
      <c r="E122" s="696">
        <f t="shared" si="15"/>
        <v>10000</v>
      </c>
      <c r="F122" s="680"/>
      <c r="G122" s="680"/>
      <c r="H122" s="680"/>
      <c r="I122" s="680"/>
      <c r="J122" s="680"/>
      <c r="K122" s="680"/>
      <c r="L122" s="680"/>
      <c r="M122" s="680"/>
      <c r="N122" s="680"/>
      <c r="O122" s="680"/>
      <c r="P122" s="680"/>
      <c r="Q122" s="680"/>
      <c r="R122" s="680"/>
      <c r="S122" s="680"/>
      <c r="T122" s="680"/>
      <c r="U122" s="680"/>
      <c r="V122" s="680"/>
      <c r="W122" s="680"/>
      <c r="X122" s="680"/>
      <c r="Y122" s="680"/>
    </row>
    <row r="123" spans="1:27" s="677" customFormat="1" x14ac:dyDescent="0.3">
      <c r="A123" s="698" t="s">
        <v>826</v>
      </c>
      <c r="B123" s="672"/>
      <c r="C123" s="700">
        <v>10000</v>
      </c>
      <c r="D123" s="707">
        <f t="shared" si="16"/>
        <v>0</v>
      </c>
      <c r="E123" s="696">
        <f t="shared" si="15"/>
        <v>10000</v>
      </c>
      <c r="F123" s="695"/>
      <c r="G123" s="695"/>
      <c r="H123" s="695"/>
      <c r="I123" s="695"/>
      <c r="J123" s="695"/>
      <c r="K123" s="695"/>
      <c r="L123" s="695"/>
      <c r="M123" s="695"/>
      <c r="N123" s="695"/>
      <c r="O123" s="695"/>
      <c r="P123" s="695"/>
      <c r="Q123" s="695"/>
      <c r="R123" s="695"/>
      <c r="S123" s="695"/>
      <c r="T123" s="695"/>
      <c r="U123" s="695"/>
      <c r="V123" s="695"/>
      <c r="W123" s="695"/>
      <c r="X123" s="695"/>
      <c r="Y123" s="695"/>
    </row>
    <row r="124" spans="1:27" s="677" customFormat="1" x14ac:dyDescent="0.3">
      <c r="A124" s="698" t="s">
        <v>827</v>
      </c>
      <c r="B124" s="672"/>
      <c r="C124" s="700">
        <f>20000-20000</f>
        <v>0</v>
      </c>
      <c r="D124" s="707">
        <f t="shared" si="16"/>
        <v>0</v>
      </c>
      <c r="E124" s="696">
        <f t="shared" si="15"/>
        <v>0</v>
      </c>
      <c r="F124" s="695"/>
      <c r="G124" s="695"/>
      <c r="H124" s="695"/>
      <c r="I124" s="695"/>
      <c r="J124" s="695"/>
      <c r="K124" s="695"/>
      <c r="L124" s="695"/>
      <c r="M124" s="695"/>
      <c r="N124" s="695"/>
      <c r="O124" s="695">
        <v>0</v>
      </c>
      <c r="P124" s="695"/>
      <c r="Q124" s="695"/>
      <c r="R124" s="695"/>
      <c r="S124" s="695"/>
      <c r="T124" s="695"/>
      <c r="U124" s="695"/>
      <c r="V124" s="695"/>
      <c r="W124" s="695"/>
      <c r="X124" s="695"/>
      <c r="Y124" s="695"/>
    </row>
    <row r="125" spans="1:27" s="677" customFormat="1" x14ac:dyDescent="0.3">
      <c r="A125" s="698" t="s">
        <v>828</v>
      </c>
      <c r="B125" s="672"/>
      <c r="C125" s="700"/>
      <c r="D125" s="735"/>
      <c r="E125" s="700"/>
      <c r="F125" s="695"/>
      <c r="G125" s="695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5"/>
      <c r="T125" s="695"/>
      <c r="U125" s="695"/>
      <c r="V125" s="695"/>
      <c r="W125" s="695"/>
      <c r="X125" s="695"/>
      <c r="Y125" s="695"/>
    </row>
    <row r="126" spans="1:27" s="677" customFormat="1" x14ac:dyDescent="0.3">
      <c r="A126" s="678" t="s">
        <v>829</v>
      </c>
      <c r="B126" s="704"/>
      <c r="C126" s="696">
        <f>50000-20000-20000</f>
        <v>10000</v>
      </c>
      <c r="D126" s="707">
        <f t="shared" ref="D126:D133" si="17">+G126+H126+I126+J126+K126+L126+M126+N126+O126+P126+Q126+R126+S126+T126+U126+V126+W126+X126+Y126</f>
        <v>0</v>
      </c>
      <c r="E126" s="696">
        <f t="shared" ref="E126:E133" si="18">+C126-D126</f>
        <v>10000</v>
      </c>
      <c r="F126" s="680"/>
      <c r="G126" s="680"/>
      <c r="H126" s="680"/>
      <c r="I126" s="680"/>
      <c r="J126" s="680"/>
      <c r="K126" s="680"/>
      <c r="L126" s="680"/>
      <c r="M126" s="680"/>
      <c r="N126" s="680">
        <v>0</v>
      </c>
      <c r="O126" s="680"/>
      <c r="P126" s="680"/>
      <c r="Q126" s="680"/>
      <c r="R126" s="680"/>
      <c r="S126" s="680"/>
      <c r="T126" s="680"/>
      <c r="U126" s="680"/>
      <c r="V126" s="680"/>
      <c r="W126" s="680"/>
      <c r="X126" s="680"/>
      <c r="Y126" s="680"/>
    </row>
    <row r="127" spans="1:27" s="677" customFormat="1" x14ac:dyDescent="0.3">
      <c r="A127" s="698" t="s">
        <v>830</v>
      </c>
      <c r="B127" s="672"/>
      <c r="C127" s="700">
        <f>20000-20000</f>
        <v>0</v>
      </c>
      <c r="D127" s="707">
        <f t="shared" si="17"/>
        <v>0</v>
      </c>
      <c r="E127" s="696">
        <f t="shared" si="18"/>
        <v>0</v>
      </c>
      <c r="F127" s="695"/>
      <c r="G127" s="695"/>
      <c r="H127" s="695"/>
      <c r="I127" s="695"/>
      <c r="J127" s="695"/>
      <c r="K127" s="695"/>
      <c r="L127" s="695"/>
      <c r="M127" s="680"/>
      <c r="N127" s="695">
        <v>0</v>
      </c>
      <c r="O127" s="695"/>
      <c r="P127" s="695"/>
      <c r="Q127" s="695"/>
      <c r="R127" s="695"/>
      <c r="S127" s="695"/>
      <c r="T127" s="695"/>
      <c r="U127" s="680"/>
      <c r="V127" s="695"/>
      <c r="W127" s="695"/>
      <c r="X127" s="695"/>
      <c r="Y127" s="695"/>
    </row>
    <row r="128" spans="1:27" s="677" customFormat="1" x14ac:dyDescent="0.3">
      <c r="A128" s="678" t="s">
        <v>831</v>
      </c>
      <c r="B128" s="704"/>
      <c r="C128" s="696">
        <v>20000</v>
      </c>
      <c r="D128" s="707">
        <f t="shared" si="17"/>
        <v>12170</v>
      </c>
      <c r="E128" s="696">
        <f t="shared" si="18"/>
        <v>7830</v>
      </c>
      <c r="F128" s="680"/>
      <c r="G128" s="680"/>
      <c r="H128" s="680"/>
      <c r="I128" s="680"/>
      <c r="J128" s="680"/>
      <c r="K128" s="680"/>
      <c r="L128" s="680"/>
      <c r="M128" s="695"/>
      <c r="N128" s="695">
        <v>12170</v>
      </c>
      <c r="O128" s="680"/>
      <c r="P128" s="680"/>
      <c r="Q128" s="680"/>
      <c r="R128" s="680"/>
      <c r="S128" s="680"/>
      <c r="T128" s="680"/>
      <c r="U128" s="680"/>
      <c r="V128" s="680"/>
      <c r="W128" s="680"/>
      <c r="X128" s="680"/>
      <c r="Y128" s="680"/>
      <c r="AA128" s="677">
        <v>4</v>
      </c>
    </row>
    <row r="129" spans="1:25" s="677" customFormat="1" x14ac:dyDescent="0.3">
      <c r="A129" s="678" t="s">
        <v>832</v>
      </c>
      <c r="B129" s="704"/>
      <c r="C129" s="696">
        <f>20000-20000</f>
        <v>0</v>
      </c>
      <c r="D129" s="707">
        <f t="shared" si="17"/>
        <v>0</v>
      </c>
      <c r="E129" s="696">
        <f t="shared" si="18"/>
        <v>0</v>
      </c>
      <c r="F129" s="680"/>
      <c r="G129" s="680"/>
      <c r="H129" s="680"/>
      <c r="I129" s="680"/>
      <c r="J129" s="680"/>
      <c r="K129" s="680"/>
      <c r="L129" s="680"/>
      <c r="M129" s="680"/>
      <c r="N129" s="680"/>
      <c r="O129" s="680"/>
      <c r="P129" s="680"/>
      <c r="Q129" s="680"/>
      <c r="R129" s="680"/>
      <c r="S129" s="680"/>
      <c r="T129" s="680"/>
      <c r="U129" s="680"/>
      <c r="V129" s="680"/>
      <c r="W129" s="695"/>
      <c r="X129" s="680"/>
      <c r="Y129" s="680"/>
    </row>
    <row r="130" spans="1:25" s="677" customFormat="1" x14ac:dyDescent="0.3">
      <c r="A130" s="678" t="s">
        <v>833</v>
      </c>
      <c r="B130" s="704"/>
      <c r="C130" s="696">
        <f>100000-48000</f>
        <v>52000</v>
      </c>
      <c r="D130" s="707">
        <f t="shared" si="17"/>
        <v>51463</v>
      </c>
      <c r="E130" s="696">
        <f t="shared" si="18"/>
        <v>537</v>
      </c>
      <c r="F130" s="680"/>
      <c r="G130" s="713"/>
      <c r="H130" s="713"/>
      <c r="I130" s="713"/>
      <c r="J130" s="713"/>
      <c r="K130" s="680"/>
      <c r="L130" s="680"/>
      <c r="M130" s="680"/>
      <c r="N130" s="680"/>
      <c r="O130" s="680"/>
      <c r="P130" s="680"/>
      <c r="Q130" s="713"/>
      <c r="R130" s="713"/>
      <c r="S130" s="680"/>
      <c r="T130" s="680">
        <f>28063+23400</f>
        <v>51463</v>
      </c>
      <c r="U130" s="680"/>
      <c r="V130" s="680"/>
      <c r="W130" s="695"/>
      <c r="X130" s="713"/>
      <c r="Y130" s="680"/>
    </row>
    <row r="131" spans="1:25" s="677" customFormat="1" x14ac:dyDescent="0.3">
      <c r="A131" s="678" t="s">
        <v>834</v>
      </c>
      <c r="B131" s="704"/>
      <c r="C131" s="696">
        <f>40000-25000</f>
        <v>15000</v>
      </c>
      <c r="D131" s="707">
        <f t="shared" si="17"/>
        <v>0</v>
      </c>
      <c r="E131" s="696">
        <f t="shared" si="18"/>
        <v>15000</v>
      </c>
      <c r="F131" s="680"/>
      <c r="G131" s="713"/>
      <c r="H131" s="713"/>
      <c r="I131" s="713"/>
      <c r="J131" s="713"/>
      <c r="K131" s="680"/>
      <c r="L131" s="680"/>
      <c r="M131" s="680"/>
      <c r="N131" s="680"/>
      <c r="O131" s="680"/>
      <c r="P131" s="680"/>
      <c r="Q131" s="713"/>
      <c r="R131" s="713"/>
      <c r="S131" s="680"/>
      <c r="T131" s="680"/>
      <c r="U131" s="680"/>
      <c r="V131" s="680"/>
      <c r="W131" s="695"/>
      <c r="X131" s="713"/>
      <c r="Y131" s="680"/>
    </row>
    <row r="132" spans="1:25" s="677" customFormat="1" x14ac:dyDescent="0.3">
      <c r="A132" s="678" t="s">
        <v>835</v>
      </c>
      <c r="B132" s="704"/>
      <c r="C132" s="696">
        <f>150000-38000</f>
        <v>112000</v>
      </c>
      <c r="D132" s="707">
        <f t="shared" si="17"/>
        <v>111357</v>
      </c>
      <c r="E132" s="696">
        <f t="shared" si="18"/>
        <v>643</v>
      </c>
      <c r="F132" s="680"/>
      <c r="G132" s="713"/>
      <c r="H132" s="713"/>
      <c r="I132" s="713"/>
      <c r="J132" s="713"/>
      <c r="K132" s="680"/>
      <c r="L132" s="680"/>
      <c r="M132" s="680"/>
      <c r="N132" s="680"/>
      <c r="O132" s="680"/>
      <c r="P132" s="680"/>
      <c r="Q132" s="713"/>
      <c r="R132" s="713"/>
      <c r="S132" s="680"/>
      <c r="T132" s="680"/>
      <c r="U132" s="680"/>
      <c r="V132" s="680">
        <v>111357</v>
      </c>
      <c r="W132" s="695"/>
      <c r="X132" s="713"/>
      <c r="Y132" s="680"/>
    </row>
    <row r="133" spans="1:25" s="677" customFormat="1" x14ac:dyDescent="0.3">
      <c r="A133" s="725" t="s">
        <v>836</v>
      </c>
      <c r="B133" s="726"/>
      <c r="C133" s="720">
        <v>20000</v>
      </c>
      <c r="D133" s="727">
        <f t="shared" si="17"/>
        <v>10280</v>
      </c>
      <c r="E133" s="720">
        <f t="shared" si="18"/>
        <v>9720</v>
      </c>
      <c r="F133" s="728"/>
      <c r="G133" s="728"/>
      <c r="H133" s="728"/>
      <c r="I133" s="728"/>
      <c r="J133" s="728"/>
      <c r="K133" s="728"/>
      <c r="L133" s="728"/>
      <c r="M133" s="728"/>
      <c r="N133" s="728"/>
      <c r="O133" s="728"/>
      <c r="P133" s="728"/>
      <c r="Q133" s="728"/>
      <c r="R133" s="728"/>
      <c r="S133" s="728"/>
      <c r="T133" s="728"/>
      <c r="U133" s="728"/>
      <c r="V133" s="728">
        <v>10280</v>
      </c>
      <c r="W133" s="728"/>
      <c r="X133" s="728"/>
      <c r="Y133" s="728"/>
    </row>
    <row r="149" spans="1:25" ht="23.25" x14ac:dyDescent="0.5">
      <c r="A149" s="883" t="s">
        <v>76</v>
      </c>
      <c r="B149" s="883"/>
      <c r="C149" s="883"/>
      <c r="D149" s="883"/>
      <c r="E149" s="883"/>
      <c r="F149" s="883"/>
      <c r="G149" s="883"/>
      <c r="H149" s="883"/>
      <c r="I149" s="883"/>
      <c r="J149" s="883"/>
      <c r="K149" s="883"/>
      <c r="L149" s="883"/>
      <c r="M149" s="883"/>
      <c r="N149" s="883"/>
      <c r="O149" s="883"/>
      <c r="P149" s="883"/>
      <c r="Q149" s="883"/>
      <c r="R149" s="883"/>
      <c r="S149" s="883"/>
      <c r="T149" s="883"/>
      <c r="U149" s="883"/>
      <c r="V149" s="883"/>
      <c r="W149" s="883"/>
      <c r="X149" s="883"/>
      <c r="Y149" s="883"/>
    </row>
    <row r="150" spans="1:25" ht="23.25" x14ac:dyDescent="0.5">
      <c r="A150" s="883" t="s">
        <v>792</v>
      </c>
      <c r="B150" s="883"/>
      <c r="C150" s="883"/>
      <c r="D150" s="883"/>
      <c r="E150" s="883"/>
      <c r="F150" s="883"/>
      <c r="G150" s="883"/>
      <c r="H150" s="883"/>
      <c r="I150" s="883"/>
      <c r="J150" s="883"/>
      <c r="K150" s="883"/>
      <c r="L150" s="883"/>
      <c r="M150" s="883"/>
      <c r="N150" s="883"/>
      <c r="O150" s="883"/>
      <c r="P150" s="883"/>
      <c r="Q150" s="883"/>
      <c r="R150" s="883"/>
      <c r="S150" s="883"/>
      <c r="T150" s="883"/>
      <c r="U150" s="883"/>
      <c r="V150" s="883"/>
      <c r="W150" s="883"/>
      <c r="X150" s="883"/>
      <c r="Y150" s="883"/>
    </row>
    <row r="151" spans="1:25" ht="23.25" x14ac:dyDescent="0.5">
      <c r="A151" s="883" t="s">
        <v>793</v>
      </c>
      <c r="B151" s="883"/>
      <c r="C151" s="883"/>
      <c r="D151" s="883"/>
      <c r="E151" s="883"/>
      <c r="F151" s="883"/>
      <c r="G151" s="883"/>
      <c r="H151" s="883"/>
      <c r="I151" s="883"/>
      <c r="J151" s="883"/>
      <c r="K151" s="883"/>
      <c r="L151" s="883"/>
      <c r="M151" s="883"/>
      <c r="N151" s="883"/>
      <c r="O151" s="883"/>
      <c r="P151" s="883"/>
      <c r="Q151" s="883"/>
      <c r="R151" s="883"/>
      <c r="S151" s="883"/>
      <c r="T151" s="883"/>
      <c r="U151" s="883"/>
      <c r="V151" s="883"/>
      <c r="W151" s="883"/>
      <c r="X151" s="883"/>
      <c r="Y151" s="883"/>
    </row>
    <row r="152" spans="1:25" s="643" customFormat="1" ht="10.5" x14ac:dyDescent="0.25">
      <c r="A152" s="638"/>
      <c r="B152" s="639"/>
      <c r="C152" s="884" t="s">
        <v>6</v>
      </c>
      <c r="D152" s="884" t="s">
        <v>794</v>
      </c>
      <c r="E152" s="640"/>
      <c r="F152" s="641" t="s">
        <v>41</v>
      </c>
      <c r="G152" s="875" t="s">
        <v>110</v>
      </c>
      <c r="H152" s="876"/>
      <c r="I152" s="872" t="s">
        <v>111</v>
      </c>
      <c r="J152" s="887"/>
      <c r="K152" s="874" t="s">
        <v>112</v>
      </c>
      <c r="L152" s="873"/>
      <c r="M152" s="888" t="s">
        <v>113</v>
      </c>
      <c r="N152" s="889"/>
      <c r="O152" s="642" t="s">
        <v>113</v>
      </c>
      <c r="P152" s="872" t="s">
        <v>113</v>
      </c>
      <c r="Q152" s="873"/>
      <c r="R152" s="874" t="s">
        <v>114</v>
      </c>
      <c r="S152" s="875"/>
      <c r="T152" s="874" t="s">
        <v>115</v>
      </c>
      <c r="U152" s="875"/>
      <c r="V152" s="876"/>
      <c r="W152" s="874" t="s">
        <v>116</v>
      </c>
      <c r="X152" s="873"/>
      <c r="Y152" s="642" t="s">
        <v>113</v>
      </c>
    </row>
    <row r="153" spans="1:25" s="643" customFormat="1" ht="10.5" x14ac:dyDescent="0.25">
      <c r="A153" s="644"/>
      <c r="B153" s="645"/>
      <c r="C153" s="885"/>
      <c r="D153" s="885"/>
      <c r="E153" s="646"/>
      <c r="F153" s="647"/>
      <c r="G153" s="865"/>
      <c r="H153" s="866"/>
      <c r="I153" s="877" t="s">
        <v>117</v>
      </c>
      <c r="J153" s="878"/>
      <c r="K153" s="648"/>
      <c r="L153" s="649"/>
      <c r="M153" s="879" t="s">
        <v>118</v>
      </c>
      <c r="N153" s="880"/>
      <c r="O153" s="650" t="s">
        <v>119</v>
      </c>
      <c r="P153" s="877" t="s">
        <v>120</v>
      </c>
      <c r="Q153" s="881"/>
      <c r="R153" s="644"/>
      <c r="S153" s="651"/>
      <c r="T153" s="879" t="s">
        <v>121</v>
      </c>
      <c r="U153" s="882"/>
      <c r="V153" s="880"/>
      <c r="W153" s="644" t="s">
        <v>13</v>
      </c>
      <c r="X153" s="649"/>
      <c r="Y153" s="652" t="s">
        <v>122</v>
      </c>
    </row>
    <row r="154" spans="1:25" s="643" customFormat="1" ht="10.5" x14ac:dyDescent="0.25">
      <c r="A154" s="644" t="s">
        <v>123</v>
      </c>
      <c r="B154" s="645"/>
      <c r="C154" s="885"/>
      <c r="D154" s="885"/>
      <c r="E154" s="653" t="s">
        <v>799</v>
      </c>
      <c r="F154" s="654" t="s">
        <v>124</v>
      </c>
      <c r="G154" s="865" t="s">
        <v>125</v>
      </c>
      <c r="H154" s="866"/>
      <c r="I154" s="655"/>
      <c r="J154" s="656" t="s">
        <v>126</v>
      </c>
      <c r="K154" s="863" t="s">
        <v>127</v>
      </c>
      <c r="L154" s="864"/>
      <c r="M154" s="867" t="s">
        <v>128</v>
      </c>
      <c r="N154" s="868"/>
      <c r="O154" s="654"/>
      <c r="P154" s="869" t="s">
        <v>129</v>
      </c>
      <c r="Q154" s="864"/>
      <c r="R154" s="863" t="s">
        <v>130</v>
      </c>
      <c r="S154" s="870"/>
      <c r="T154" s="863" t="s">
        <v>131</v>
      </c>
      <c r="U154" s="870"/>
      <c r="V154" s="871"/>
      <c r="W154" s="863" t="s">
        <v>132</v>
      </c>
      <c r="X154" s="864"/>
      <c r="Y154" s="654" t="s">
        <v>133</v>
      </c>
    </row>
    <row r="155" spans="1:25" s="643" customFormat="1" ht="10.5" x14ac:dyDescent="0.25">
      <c r="A155" s="657"/>
      <c r="B155" s="717"/>
      <c r="C155" s="885"/>
      <c r="D155" s="885"/>
      <c r="E155" s="653" t="s">
        <v>6</v>
      </c>
      <c r="F155" s="641" t="s">
        <v>134</v>
      </c>
      <c r="G155" s="641" t="s">
        <v>135</v>
      </c>
      <c r="H155" s="641" t="s">
        <v>135</v>
      </c>
      <c r="I155" s="659" t="s">
        <v>136</v>
      </c>
      <c r="J155" s="659" t="s">
        <v>137</v>
      </c>
      <c r="K155" s="660" t="s">
        <v>138</v>
      </c>
      <c r="L155" s="641" t="s">
        <v>139</v>
      </c>
      <c r="M155" s="641" t="s">
        <v>140</v>
      </c>
      <c r="N155" s="641" t="s">
        <v>141</v>
      </c>
      <c r="O155" s="641" t="s">
        <v>142</v>
      </c>
      <c r="P155" s="660" t="s">
        <v>138</v>
      </c>
      <c r="Q155" s="660" t="s">
        <v>143</v>
      </c>
      <c r="R155" s="641" t="s">
        <v>138</v>
      </c>
      <c r="S155" s="641" t="s">
        <v>144</v>
      </c>
      <c r="T155" s="641" t="s">
        <v>145</v>
      </c>
      <c r="U155" s="650" t="s">
        <v>146</v>
      </c>
      <c r="V155" s="661" t="s">
        <v>147</v>
      </c>
      <c r="W155" s="662" t="s">
        <v>148</v>
      </c>
      <c r="X155" s="641" t="s">
        <v>149</v>
      </c>
      <c r="Y155" s="641" t="s">
        <v>150</v>
      </c>
    </row>
    <row r="156" spans="1:25" s="643" customFormat="1" ht="10.5" x14ac:dyDescent="0.25">
      <c r="A156" s="644"/>
      <c r="B156" s="645"/>
      <c r="C156" s="885"/>
      <c r="D156" s="885"/>
      <c r="E156" s="646"/>
      <c r="F156" s="650"/>
      <c r="G156" s="650" t="s">
        <v>152</v>
      </c>
      <c r="H156" s="650" t="s">
        <v>153</v>
      </c>
      <c r="I156" s="663" t="s">
        <v>154</v>
      </c>
      <c r="J156" s="663" t="s">
        <v>155</v>
      </c>
      <c r="K156" s="664" t="s">
        <v>156</v>
      </c>
      <c r="L156" s="650" t="s">
        <v>157</v>
      </c>
      <c r="M156" s="650" t="s">
        <v>158</v>
      </c>
      <c r="N156" s="650" t="s">
        <v>159</v>
      </c>
      <c r="O156" s="650" t="s">
        <v>160</v>
      </c>
      <c r="P156" s="664" t="s">
        <v>161</v>
      </c>
      <c r="Q156" s="664" t="s">
        <v>162</v>
      </c>
      <c r="R156" s="650" t="s">
        <v>163</v>
      </c>
      <c r="S156" s="650" t="s">
        <v>164</v>
      </c>
      <c r="T156" s="650" t="s">
        <v>165</v>
      </c>
      <c r="U156" s="650" t="s">
        <v>166</v>
      </c>
      <c r="V156" s="661" t="s">
        <v>167</v>
      </c>
      <c r="W156" s="662" t="s">
        <v>168</v>
      </c>
      <c r="X156" s="650" t="s">
        <v>169</v>
      </c>
      <c r="Y156" s="650" t="s">
        <v>170</v>
      </c>
    </row>
    <row r="157" spans="1:25" s="643" customFormat="1" ht="10.5" x14ac:dyDescent="0.25">
      <c r="A157" s="665"/>
      <c r="B157" s="666"/>
      <c r="C157" s="886"/>
      <c r="D157" s="886"/>
      <c r="E157" s="667"/>
      <c r="F157" s="654" t="s">
        <v>171</v>
      </c>
      <c r="G157" s="654" t="s">
        <v>172</v>
      </c>
      <c r="H157" s="654" t="s">
        <v>173</v>
      </c>
      <c r="I157" s="668" t="s">
        <v>174</v>
      </c>
      <c r="J157" s="668"/>
      <c r="K157" s="669" t="s">
        <v>175</v>
      </c>
      <c r="L157" s="654" t="s">
        <v>176</v>
      </c>
      <c r="M157" s="654"/>
      <c r="N157" s="670" t="s">
        <v>177</v>
      </c>
      <c r="O157" s="654" t="s">
        <v>178</v>
      </c>
      <c r="P157" s="669" t="s">
        <v>179</v>
      </c>
      <c r="Q157" s="669"/>
      <c r="R157" s="654" t="s">
        <v>180</v>
      </c>
      <c r="S157" s="654" t="s">
        <v>181</v>
      </c>
      <c r="T157" s="654" t="s">
        <v>182</v>
      </c>
      <c r="U157" s="670" t="s">
        <v>183</v>
      </c>
      <c r="V157" s="669" t="s">
        <v>184</v>
      </c>
      <c r="W157" s="654" t="s">
        <v>185</v>
      </c>
      <c r="X157" s="654" t="s">
        <v>186</v>
      </c>
      <c r="Y157" s="654" t="s">
        <v>187</v>
      </c>
    </row>
    <row r="158" spans="1:25" s="677" customFormat="1" x14ac:dyDescent="0.3">
      <c r="A158" s="678" t="s">
        <v>837</v>
      </c>
      <c r="B158" s="704"/>
      <c r="C158" s="696">
        <f>70000-15000</f>
        <v>55000</v>
      </c>
      <c r="D158" s="707">
        <f>+F158+G158+H158+I158+J158+K158+L158+M158+N158+O158+P158+Q158+R158+S158+T158+U158+V158+W158+X158+Y158</f>
        <v>54545</v>
      </c>
      <c r="E158" s="696">
        <f t="shared" ref="E158:E163" si="19">+C158-D158</f>
        <v>455</v>
      </c>
      <c r="F158" s="680"/>
      <c r="G158" s="713"/>
      <c r="H158" s="713"/>
      <c r="I158" s="713"/>
      <c r="J158" s="713"/>
      <c r="K158" s="680"/>
      <c r="L158" s="680"/>
      <c r="M158" s="680"/>
      <c r="N158" s="680"/>
      <c r="O158" s="680"/>
      <c r="P158" s="680"/>
      <c r="Q158" s="713"/>
      <c r="R158" s="713"/>
      <c r="S158" s="680"/>
      <c r="T158" s="680"/>
      <c r="U158" s="680"/>
      <c r="V158" s="680">
        <v>54545</v>
      </c>
      <c r="W158" s="695"/>
      <c r="X158" s="695"/>
      <c r="Y158" s="680"/>
    </row>
    <row r="159" spans="1:25" s="677" customFormat="1" x14ac:dyDescent="0.3">
      <c r="A159" s="678" t="s">
        <v>838</v>
      </c>
      <c r="B159" s="704"/>
      <c r="C159" s="696">
        <v>75000</v>
      </c>
      <c r="D159" s="707">
        <f>+G159+H159+I159+J159+K159+L159+M159+N159+O159+P159+Q159+R159+S159+T159+U159+V159+W159+X159+Y159</f>
        <v>71535</v>
      </c>
      <c r="E159" s="696">
        <f t="shared" si="19"/>
        <v>3465</v>
      </c>
      <c r="F159" s="680"/>
      <c r="G159" s="680"/>
      <c r="H159" s="713"/>
      <c r="I159" s="713"/>
      <c r="J159" s="713"/>
      <c r="K159" s="680"/>
      <c r="L159" s="680"/>
      <c r="M159" s="680"/>
      <c r="N159" s="680"/>
      <c r="O159" s="680"/>
      <c r="P159" s="680"/>
      <c r="Q159" s="680"/>
      <c r="R159" s="680"/>
      <c r="S159" s="680"/>
      <c r="T159" s="680"/>
      <c r="U159" s="680"/>
      <c r="V159" s="680">
        <v>71535</v>
      </c>
      <c r="W159" s="695"/>
      <c r="X159" s="695"/>
      <c r="Y159" s="680"/>
    </row>
    <row r="160" spans="1:25" s="677" customFormat="1" x14ac:dyDescent="0.3">
      <c r="A160" s="678" t="s">
        <v>839</v>
      </c>
      <c r="B160" s="704"/>
      <c r="C160" s="696">
        <f>40000-40000</f>
        <v>0</v>
      </c>
      <c r="D160" s="707">
        <v>0</v>
      </c>
      <c r="E160" s="696">
        <f t="shared" si="19"/>
        <v>0</v>
      </c>
      <c r="F160" s="680"/>
      <c r="G160" s="680"/>
      <c r="H160" s="680"/>
      <c r="I160" s="680"/>
      <c r="J160" s="680"/>
      <c r="K160" s="680"/>
      <c r="L160" s="680"/>
      <c r="M160" s="680"/>
      <c r="N160" s="680"/>
      <c r="O160" s="680"/>
      <c r="P160" s="680"/>
      <c r="Q160" s="680"/>
      <c r="R160" s="680"/>
      <c r="S160" s="680"/>
      <c r="T160" s="680"/>
      <c r="U160" s="680"/>
      <c r="V160" s="680">
        <v>0</v>
      </c>
      <c r="W160" s="680"/>
      <c r="X160" s="680"/>
      <c r="Y160" s="680"/>
    </row>
    <row r="161" spans="1:27" s="677" customFormat="1" x14ac:dyDescent="0.3">
      <c r="A161" s="698" t="s">
        <v>840</v>
      </c>
      <c r="B161" s="672"/>
      <c r="C161" s="700">
        <f>150000+20000</f>
        <v>170000</v>
      </c>
      <c r="D161" s="707">
        <f>+G161+H161+I161+J161+K161+L161+M161+N161+O161+P161+Q161+R161+S161+T161+U161+V161+W161+X161+Y161</f>
        <v>160825</v>
      </c>
      <c r="E161" s="696">
        <f t="shared" si="19"/>
        <v>9175</v>
      </c>
      <c r="F161" s="695"/>
      <c r="G161" s="715"/>
      <c r="H161" s="715"/>
      <c r="I161" s="715"/>
      <c r="J161" s="715"/>
      <c r="K161" s="695"/>
      <c r="L161" s="695"/>
      <c r="M161" s="695"/>
      <c r="N161" s="695"/>
      <c r="O161" s="695"/>
      <c r="P161" s="695"/>
      <c r="Q161" s="715"/>
      <c r="R161" s="715"/>
      <c r="S161" s="695"/>
      <c r="T161" s="695"/>
      <c r="U161" s="695">
        <v>160825</v>
      </c>
      <c r="V161" s="695"/>
      <c r="W161" s="680"/>
      <c r="X161" s="715"/>
      <c r="Y161" s="695"/>
    </row>
    <row r="162" spans="1:27" s="677" customFormat="1" x14ac:dyDescent="0.3">
      <c r="A162" s="678" t="s">
        <v>841</v>
      </c>
      <c r="B162" s="704"/>
      <c r="C162" s="696">
        <v>10000</v>
      </c>
      <c r="D162" s="707">
        <f t="shared" ref="D162:D163" si="20">+F162+G162+H162+I162+J162+K162+L162+M162+N162+O162+P162+Q162+R162+S162+T162+U162+V162+W162+X162+Y162</f>
        <v>0</v>
      </c>
      <c r="E162" s="696">
        <f t="shared" si="19"/>
        <v>10000</v>
      </c>
      <c r="F162" s="680"/>
      <c r="G162" s="713"/>
      <c r="H162" s="713"/>
      <c r="I162" s="713"/>
      <c r="J162" s="713"/>
      <c r="K162" s="680"/>
      <c r="L162" s="680"/>
      <c r="M162" s="680"/>
      <c r="N162" s="680"/>
      <c r="O162" s="680"/>
      <c r="P162" s="680"/>
      <c r="Q162" s="713"/>
      <c r="R162" s="713"/>
      <c r="S162" s="680"/>
      <c r="T162" s="680"/>
      <c r="U162" s="680"/>
      <c r="V162" s="680"/>
      <c r="W162" s="680">
        <v>0</v>
      </c>
      <c r="X162" s="713"/>
      <c r="Y162" s="680"/>
    </row>
    <row r="163" spans="1:27" s="677" customFormat="1" x14ac:dyDescent="0.3">
      <c r="A163" s="678" t="s">
        <v>842</v>
      </c>
      <c r="B163" s="704"/>
      <c r="C163" s="696">
        <f>50000-20000-30000</f>
        <v>0</v>
      </c>
      <c r="D163" s="707">
        <f t="shared" si="20"/>
        <v>0</v>
      </c>
      <c r="E163" s="696">
        <f t="shared" si="19"/>
        <v>0</v>
      </c>
      <c r="F163" s="680"/>
      <c r="G163" s="713"/>
      <c r="H163" s="713"/>
      <c r="I163" s="713"/>
      <c r="J163" s="713"/>
      <c r="K163" s="680"/>
      <c r="L163" s="680"/>
      <c r="M163" s="680"/>
      <c r="N163" s="708"/>
      <c r="O163" s="680"/>
      <c r="P163" s="680"/>
      <c r="Q163" s="713"/>
      <c r="R163" s="713"/>
      <c r="S163" s="680"/>
      <c r="T163" s="680"/>
      <c r="U163" s="680"/>
      <c r="V163" s="680"/>
      <c r="W163" s="680"/>
      <c r="X163" s="713"/>
      <c r="Y163" s="680"/>
    </row>
    <row r="164" spans="1:27" s="677" customFormat="1" x14ac:dyDescent="0.3">
      <c r="A164" s="678" t="s">
        <v>843</v>
      </c>
      <c r="B164" s="704"/>
      <c r="C164" s="696"/>
      <c r="D164" s="707"/>
      <c r="E164" s="696"/>
      <c r="F164" s="680"/>
      <c r="G164" s="713"/>
      <c r="H164" s="713"/>
      <c r="I164" s="713"/>
      <c r="J164" s="713"/>
      <c r="K164" s="680"/>
      <c r="L164" s="680"/>
      <c r="M164" s="680"/>
      <c r="N164" s="680"/>
      <c r="O164" s="680"/>
      <c r="P164" s="680"/>
      <c r="Q164" s="713"/>
      <c r="R164" s="713"/>
      <c r="S164" s="680"/>
      <c r="T164" s="680"/>
      <c r="U164" s="680"/>
      <c r="V164" s="680"/>
      <c r="W164" s="680"/>
      <c r="X164" s="713"/>
      <c r="Y164" s="680"/>
    </row>
    <row r="165" spans="1:27" s="677" customFormat="1" x14ac:dyDescent="0.3">
      <c r="A165" s="678" t="s">
        <v>844</v>
      </c>
      <c r="B165" s="704"/>
      <c r="C165" s="696">
        <v>10000</v>
      </c>
      <c r="D165" s="707">
        <f t="shared" ref="D165:D167" si="21">+F165+G165+H165+I165+J165+K165+L165+M165+N165+O165+P165+Q165+R165+S165+T165+U165+V165+W165+X165+Y165</f>
        <v>0</v>
      </c>
      <c r="E165" s="696">
        <f t="shared" ref="E165:E167" si="22">+C165-D165</f>
        <v>10000</v>
      </c>
      <c r="F165" s="680"/>
      <c r="G165" s="713"/>
      <c r="H165" s="713"/>
      <c r="I165" s="713"/>
      <c r="J165" s="713"/>
      <c r="K165" s="680"/>
      <c r="L165" s="680"/>
      <c r="M165" s="680"/>
      <c r="N165" s="680"/>
      <c r="O165" s="680"/>
      <c r="P165" s="680"/>
      <c r="Q165" s="713"/>
      <c r="R165" s="713"/>
      <c r="S165" s="680"/>
      <c r="T165" s="680"/>
      <c r="U165" s="680"/>
      <c r="V165" s="680"/>
      <c r="W165" s="680"/>
      <c r="X165" s="713"/>
      <c r="Y165" s="680"/>
    </row>
    <row r="166" spans="1:27" s="677" customFormat="1" x14ac:dyDescent="0.3">
      <c r="A166" s="678" t="s">
        <v>845</v>
      </c>
      <c r="B166" s="704"/>
      <c r="C166" s="696"/>
      <c r="D166" s="707">
        <f t="shared" si="21"/>
        <v>0</v>
      </c>
      <c r="E166" s="696">
        <f t="shared" si="22"/>
        <v>0</v>
      </c>
      <c r="F166" s="680"/>
      <c r="G166" s="713"/>
      <c r="H166" s="713"/>
      <c r="I166" s="713"/>
      <c r="J166" s="713"/>
      <c r="K166" s="680"/>
      <c r="L166" s="680"/>
      <c r="M166" s="680"/>
      <c r="N166" s="680"/>
      <c r="O166" s="680"/>
      <c r="P166" s="680"/>
      <c r="Q166" s="713"/>
      <c r="R166" s="713"/>
      <c r="S166" s="680"/>
      <c r="T166" s="680"/>
      <c r="U166" s="680"/>
      <c r="V166" s="680"/>
      <c r="W166" s="715"/>
      <c r="X166" s="713"/>
      <c r="Y166" s="680"/>
      <c r="AA166" s="677">
        <v>5</v>
      </c>
    </row>
    <row r="167" spans="1:27" s="677" customFormat="1" x14ac:dyDescent="0.3">
      <c r="A167" s="753" t="s">
        <v>846</v>
      </c>
      <c r="B167" s="754">
        <v>320400</v>
      </c>
      <c r="C167" s="720">
        <f>100000+10000+80000+10000+10000+25200+18000</f>
        <v>253200</v>
      </c>
      <c r="D167" s="707">
        <f t="shared" si="21"/>
        <v>150125.73000000001</v>
      </c>
      <c r="E167" s="696">
        <f t="shared" si="22"/>
        <v>103074.26999999999</v>
      </c>
      <c r="F167" s="728"/>
      <c r="G167" s="713">
        <v>83405</v>
      </c>
      <c r="H167" s="713">
        <v>5100</v>
      </c>
      <c r="I167" s="713"/>
      <c r="J167" s="713">
        <v>51500</v>
      </c>
      <c r="K167" s="680">
        <v>2850</v>
      </c>
      <c r="L167" s="680"/>
      <c r="M167" s="680"/>
      <c r="N167" s="680"/>
      <c r="O167" s="680"/>
      <c r="P167" s="680"/>
      <c r="Q167" s="713"/>
      <c r="R167" s="713">
        <v>5450</v>
      </c>
      <c r="S167" s="680"/>
      <c r="T167" s="680"/>
      <c r="U167" s="680"/>
      <c r="V167" s="680"/>
      <c r="W167" s="713"/>
      <c r="X167" s="713"/>
      <c r="Y167" s="680">
        <v>1820.73</v>
      </c>
    </row>
    <row r="168" spans="1:27" s="677" customFormat="1" x14ac:dyDescent="0.3">
      <c r="A168" s="684" t="s">
        <v>189</v>
      </c>
      <c r="B168" s="685"/>
      <c r="C168" s="687">
        <f t="shared" ref="C168:E168" si="23">SUM(C51:C167)</f>
        <v>2275000</v>
      </c>
      <c r="D168" s="687">
        <f t="shared" si="23"/>
        <v>1740650.73</v>
      </c>
      <c r="E168" s="687">
        <f t="shared" si="23"/>
        <v>534349.27</v>
      </c>
      <c r="F168" s="687">
        <f>SUM(F51:F167)</f>
        <v>0</v>
      </c>
      <c r="G168" s="687">
        <f>SUM(G51:G167)</f>
        <v>610630</v>
      </c>
      <c r="H168" s="687">
        <f t="shared" ref="H168:Y168" si="24">SUM(H51:H167)</f>
        <v>5100</v>
      </c>
      <c r="I168" s="687">
        <f t="shared" si="24"/>
        <v>0</v>
      </c>
      <c r="J168" s="687">
        <f t="shared" si="24"/>
        <v>169894</v>
      </c>
      <c r="K168" s="687">
        <f t="shared" si="24"/>
        <v>16382</v>
      </c>
      <c r="L168" s="687">
        <f t="shared" si="24"/>
        <v>247440</v>
      </c>
      <c r="M168" s="687">
        <f t="shared" si="24"/>
        <v>0</v>
      </c>
      <c r="N168" s="687">
        <f t="shared" si="24"/>
        <v>12170</v>
      </c>
      <c r="O168" s="687">
        <f t="shared" si="24"/>
        <v>0</v>
      </c>
      <c r="P168" s="687">
        <f t="shared" si="24"/>
        <v>0</v>
      </c>
      <c r="Q168" s="687">
        <f t="shared" si="24"/>
        <v>5040</v>
      </c>
      <c r="R168" s="687">
        <f t="shared" si="24"/>
        <v>13370</v>
      </c>
      <c r="S168" s="687">
        <f t="shared" si="24"/>
        <v>0</v>
      </c>
      <c r="T168" s="687">
        <f t="shared" si="24"/>
        <v>51463</v>
      </c>
      <c r="U168" s="687">
        <f t="shared" si="24"/>
        <v>160825</v>
      </c>
      <c r="V168" s="687">
        <f t="shared" si="24"/>
        <v>446516</v>
      </c>
      <c r="W168" s="687">
        <f t="shared" si="24"/>
        <v>0</v>
      </c>
      <c r="X168" s="687">
        <f t="shared" si="24"/>
        <v>0</v>
      </c>
      <c r="Y168" s="687">
        <f t="shared" si="24"/>
        <v>1820.73</v>
      </c>
    </row>
    <row r="169" spans="1:27" s="677" customFormat="1" x14ac:dyDescent="0.3">
      <c r="A169" s="691" t="s">
        <v>232</v>
      </c>
      <c r="B169" s="692"/>
      <c r="C169" s="755"/>
      <c r="D169" s="755"/>
      <c r="E169" s="755"/>
      <c r="F169" s="676"/>
      <c r="G169" s="676"/>
      <c r="H169" s="676"/>
      <c r="I169" s="676"/>
      <c r="J169" s="723"/>
      <c r="K169" s="723"/>
      <c r="L169" s="676"/>
      <c r="M169" s="676"/>
      <c r="N169" s="676"/>
      <c r="O169" s="676"/>
      <c r="P169" s="723"/>
      <c r="Q169" s="723"/>
      <c r="R169" s="676"/>
      <c r="S169" s="676"/>
      <c r="T169" s="676"/>
      <c r="U169" s="676"/>
      <c r="V169" s="723"/>
      <c r="W169" s="676"/>
      <c r="X169" s="676"/>
      <c r="Y169" s="676"/>
    </row>
    <row r="170" spans="1:27" s="677" customFormat="1" x14ac:dyDescent="0.3">
      <c r="A170" s="678" t="s">
        <v>293</v>
      </c>
      <c r="B170" s="679">
        <v>330100</v>
      </c>
      <c r="C170" s="696">
        <f>75000+50000+5000+15000</f>
        <v>145000</v>
      </c>
      <c r="D170" s="707">
        <f t="shared" ref="D170:D175" si="25">+G170+H170+I170+J170+K170+L170+M170+N170+O170+P170+Q170+R170+S170+T170+U170+V170+W170+X170+Y170</f>
        <v>129827.75</v>
      </c>
      <c r="E170" s="696">
        <f t="shared" ref="E170:E175" si="26">+C170-D170</f>
        <v>15172.25</v>
      </c>
      <c r="F170" s="680"/>
      <c r="G170" s="680">
        <v>73354</v>
      </c>
      <c r="H170" s="680">
        <v>43796.75</v>
      </c>
      <c r="I170" s="680"/>
      <c r="J170" s="680">
        <v>0</v>
      </c>
      <c r="K170" s="680">
        <v>4110</v>
      </c>
      <c r="L170" s="680"/>
      <c r="M170" s="680"/>
      <c r="N170" s="680"/>
      <c r="O170" s="680"/>
      <c r="P170" s="680"/>
      <c r="Q170" s="680"/>
      <c r="R170" s="680">
        <v>8567</v>
      </c>
      <c r="S170" s="680"/>
      <c r="T170" s="680"/>
      <c r="U170" s="680"/>
      <c r="V170" s="680"/>
      <c r="W170" s="680"/>
      <c r="X170" s="680"/>
      <c r="Y170" s="680"/>
    </row>
    <row r="171" spans="1:27" s="677" customFormat="1" x14ac:dyDescent="0.3">
      <c r="A171" s="678" t="s">
        <v>292</v>
      </c>
      <c r="B171" s="679">
        <v>330200</v>
      </c>
      <c r="C171" s="696">
        <f>30000+20000+100000</f>
        <v>150000</v>
      </c>
      <c r="D171" s="707">
        <f t="shared" si="25"/>
        <v>89341.200000000012</v>
      </c>
      <c r="E171" s="696">
        <f t="shared" si="26"/>
        <v>60658.799999999988</v>
      </c>
      <c r="F171" s="680"/>
      <c r="G171" s="680">
        <v>17090.849999999999</v>
      </c>
      <c r="H171" s="680">
        <v>0</v>
      </c>
      <c r="I171" s="680"/>
      <c r="J171" s="680">
        <v>0</v>
      </c>
      <c r="K171" s="680"/>
      <c r="L171" s="680"/>
      <c r="M171" s="680"/>
      <c r="N171" s="680"/>
      <c r="O171" s="680"/>
      <c r="P171" s="680"/>
      <c r="Q171" s="680"/>
      <c r="R171" s="680">
        <v>72250.350000000006</v>
      </c>
      <c r="S171" s="680"/>
      <c r="T171" s="680"/>
      <c r="U171" s="680"/>
      <c r="V171" s="680"/>
      <c r="W171" s="680"/>
      <c r="X171" s="680"/>
      <c r="Y171" s="680"/>
    </row>
    <row r="172" spans="1:27" s="677" customFormat="1" x14ac:dyDescent="0.3">
      <c r="A172" s="678" t="s">
        <v>294</v>
      </c>
      <c r="B172" s="679">
        <v>330300</v>
      </c>
      <c r="C172" s="696">
        <f>20000+20000</f>
        <v>40000</v>
      </c>
      <c r="D172" s="707">
        <f t="shared" si="25"/>
        <v>23133</v>
      </c>
      <c r="E172" s="696">
        <f t="shared" si="26"/>
        <v>16867</v>
      </c>
      <c r="F172" s="680"/>
      <c r="G172" s="680">
        <v>18469</v>
      </c>
      <c r="H172" s="680">
        <v>0</v>
      </c>
      <c r="I172" s="680"/>
      <c r="J172" s="680">
        <v>0</v>
      </c>
      <c r="K172" s="680">
        <v>4664</v>
      </c>
      <c r="L172" s="680"/>
      <c r="M172" s="680"/>
      <c r="N172" s="680"/>
      <c r="O172" s="680"/>
      <c r="P172" s="680"/>
      <c r="Q172" s="680"/>
      <c r="R172" s="680"/>
      <c r="S172" s="680"/>
      <c r="T172" s="680"/>
      <c r="U172" s="680"/>
      <c r="V172" s="680"/>
      <c r="W172" s="680"/>
      <c r="X172" s="680"/>
      <c r="Y172" s="680"/>
    </row>
    <row r="173" spans="1:27" s="677" customFormat="1" x14ac:dyDescent="0.3">
      <c r="A173" s="678" t="s">
        <v>847</v>
      </c>
      <c r="B173" s="679">
        <v>330400</v>
      </c>
      <c r="C173" s="696">
        <v>480000</v>
      </c>
      <c r="D173" s="707">
        <f t="shared" si="25"/>
        <v>459715.82</v>
      </c>
      <c r="E173" s="696">
        <f t="shared" si="26"/>
        <v>20284.179999999993</v>
      </c>
      <c r="F173" s="680"/>
      <c r="G173" s="680"/>
      <c r="H173" s="680"/>
      <c r="I173" s="680"/>
      <c r="J173" s="680">
        <v>0</v>
      </c>
      <c r="K173" s="680"/>
      <c r="L173" s="680">
        <v>459715.82</v>
      </c>
      <c r="M173" s="680"/>
      <c r="N173" s="680"/>
      <c r="O173" s="680"/>
      <c r="P173" s="680"/>
      <c r="Q173" s="680"/>
      <c r="R173" s="680"/>
      <c r="S173" s="680"/>
      <c r="T173" s="680"/>
      <c r="U173" s="680"/>
      <c r="V173" s="680"/>
      <c r="W173" s="680"/>
      <c r="X173" s="680"/>
      <c r="Y173" s="680"/>
    </row>
    <row r="174" spans="1:27" s="677" customFormat="1" x14ac:dyDescent="0.3">
      <c r="A174" s="678" t="s">
        <v>295</v>
      </c>
      <c r="B174" s="711">
        <v>330600</v>
      </c>
      <c r="C174" s="712">
        <v>3000</v>
      </c>
      <c r="D174" s="707">
        <f t="shared" si="25"/>
        <v>0</v>
      </c>
      <c r="E174" s="696">
        <f t="shared" si="26"/>
        <v>3000</v>
      </c>
      <c r="F174" s="713"/>
      <c r="G174" s="680"/>
      <c r="H174" s="680"/>
      <c r="I174" s="680"/>
      <c r="J174" s="680">
        <v>0</v>
      </c>
      <c r="K174" s="680"/>
      <c r="L174" s="680"/>
      <c r="M174" s="713"/>
      <c r="N174" s="713"/>
      <c r="O174" s="713"/>
      <c r="P174" s="713"/>
      <c r="Q174" s="713"/>
      <c r="R174" s="680"/>
      <c r="S174" s="680"/>
      <c r="T174" s="680"/>
      <c r="U174" s="680"/>
      <c r="V174" s="680"/>
      <c r="W174" s="680"/>
      <c r="X174" s="680"/>
      <c r="Y174" s="680"/>
    </row>
    <row r="175" spans="1:27" s="677" customFormat="1" x14ac:dyDescent="0.3">
      <c r="A175" s="725" t="s">
        <v>296</v>
      </c>
      <c r="B175" s="754">
        <v>330700</v>
      </c>
      <c r="C175" s="720">
        <f>99200+2000+10000+20000</f>
        <v>131200</v>
      </c>
      <c r="D175" s="727">
        <f t="shared" si="25"/>
        <v>73821.540000000008</v>
      </c>
      <c r="E175" s="720">
        <f t="shared" si="26"/>
        <v>57378.459999999992</v>
      </c>
      <c r="F175" s="728"/>
      <c r="G175" s="728">
        <v>59371.54</v>
      </c>
      <c r="H175" s="728">
        <v>630</v>
      </c>
      <c r="I175" s="728"/>
      <c r="J175" s="728">
        <v>0</v>
      </c>
      <c r="K175" s="728"/>
      <c r="L175" s="728"/>
      <c r="M175" s="728"/>
      <c r="N175" s="728"/>
      <c r="O175" s="728"/>
      <c r="P175" s="728"/>
      <c r="Q175" s="728"/>
      <c r="R175" s="728">
        <v>13820</v>
      </c>
      <c r="S175" s="728"/>
      <c r="T175" s="728"/>
      <c r="U175" s="728"/>
      <c r="V175" s="728"/>
      <c r="W175" s="728"/>
      <c r="X175" s="728"/>
      <c r="Y175" s="728"/>
    </row>
    <row r="188" spans="1:25" ht="23.25" x14ac:dyDescent="0.5">
      <c r="A188" s="883" t="s">
        <v>76</v>
      </c>
      <c r="B188" s="883"/>
      <c r="C188" s="883"/>
      <c r="D188" s="883"/>
      <c r="E188" s="883"/>
      <c r="F188" s="883"/>
      <c r="G188" s="883"/>
      <c r="H188" s="883"/>
      <c r="I188" s="883"/>
      <c r="J188" s="883"/>
      <c r="K188" s="883"/>
      <c r="L188" s="883"/>
      <c r="M188" s="883"/>
      <c r="N188" s="883"/>
      <c r="O188" s="883"/>
      <c r="P188" s="883"/>
      <c r="Q188" s="883"/>
      <c r="R188" s="883"/>
      <c r="S188" s="883"/>
      <c r="T188" s="883"/>
      <c r="U188" s="883"/>
      <c r="V188" s="883"/>
      <c r="W188" s="883"/>
      <c r="X188" s="883"/>
      <c r="Y188" s="883"/>
    </row>
    <row r="189" spans="1:25" ht="23.25" x14ac:dyDescent="0.5">
      <c r="A189" s="883" t="s">
        <v>792</v>
      </c>
      <c r="B189" s="883"/>
      <c r="C189" s="883"/>
      <c r="D189" s="883"/>
      <c r="E189" s="883"/>
      <c r="F189" s="883"/>
      <c r="G189" s="883"/>
      <c r="H189" s="883"/>
      <c r="I189" s="883"/>
      <c r="J189" s="883"/>
      <c r="K189" s="883"/>
      <c r="L189" s="883"/>
      <c r="M189" s="883"/>
      <c r="N189" s="883"/>
      <c r="O189" s="883"/>
      <c r="P189" s="883"/>
      <c r="Q189" s="883"/>
      <c r="R189" s="883"/>
      <c r="S189" s="883"/>
      <c r="T189" s="883"/>
      <c r="U189" s="883"/>
      <c r="V189" s="883"/>
      <c r="W189" s="883"/>
      <c r="X189" s="883"/>
      <c r="Y189" s="883"/>
    </row>
    <row r="190" spans="1:25" ht="23.25" x14ac:dyDescent="0.5">
      <c r="A190" s="883" t="s">
        <v>793</v>
      </c>
      <c r="B190" s="883"/>
      <c r="C190" s="883"/>
      <c r="D190" s="883"/>
      <c r="E190" s="883"/>
      <c r="F190" s="883"/>
      <c r="G190" s="883"/>
      <c r="H190" s="883"/>
      <c r="I190" s="883"/>
      <c r="J190" s="883"/>
      <c r="K190" s="883"/>
      <c r="L190" s="883"/>
      <c r="M190" s="883"/>
      <c r="N190" s="883"/>
      <c r="O190" s="883"/>
      <c r="P190" s="883"/>
      <c r="Q190" s="883"/>
      <c r="R190" s="883"/>
      <c r="S190" s="883"/>
      <c r="T190" s="883"/>
      <c r="U190" s="883"/>
      <c r="V190" s="883"/>
      <c r="W190" s="883"/>
      <c r="X190" s="883"/>
      <c r="Y190" s="883"/>
    </row>
    <row r="191" spans="1:25" s="643" customFormat="1" ht="10.5" x14ac:dyDescent="0.25">
      <c r="A191" s="638"/>
      <c r="B191" s="639"/>
      <c r="C191" s="884" t="s">
        <v>6</v>
      </c>
      <c r="D191" s="884" t="s">
        <v>794</v>
      </c>
      <c r="E191" s="640"/>
      <c r="F191" s="641" t="s">
        <v>41</v>
      </c>
      <c r="G191" s="875" t="s">
        <v>110</v>
      </c>
      <c r="H191" s="876"/>
      <c r="I191" s="872" t="s">
        <v>111</v>
      </c>
      <c r="J191" s="887"/>
      <c r="K191" s="874" t="s">
        <v>112</v>
      </c>
      <c r="L191" s="873"/>
      <c r="M191" s="888" t="s">
        <v>113</v>
      </c>
      <c r="N191" s="889"/>
      <c r="O191" s="642" t="s">
        <v>113</v>
      </c>
      <c r="P191" s="872" t="s">
        <v>113</v>
      </c>
      <c r="Q191" s="873"/>
      <c r="R191" s="874" t="s">
        <v>114</v>
      </c>
      <c r="S191" s="875"/>
      <c r="T191" s="874" t="s">
        <v>115</v>
      </c>
      <c r="U191" s="875"/>
      <c r="V191" s="876"/>
      <c r="W191" s="874" t="s">
        <v>116</v>
      </c>
      <c r="X191" s="873"/>
      <c r="Y191" s="642" t="s">
        <v>113</v>
      </c>
    </row>
    <row r="192" spans="1:25" s="643" customFormat="1" ht="10.5" x14ac:dyDescent="0.25">
      <c r="A192" s="644"/>
      <c r="B192" s="645"/>
      <c r="C192" s="885"/>
      <c r="D192" s="885"/>
      <c r="E192" s="646"/>
      <c r="F192" s="647"/>
      <c r="G192" s="865"/>
      <c r="H192" s="866"/>
      <c r="I192" s="877" t="s">
        <v>117</v>
      </c>
      <c r="J192" s="878"/>
      <c r="K192" s="648"/>
      <c r="L192" s="649"/>
      <c r="M192" s="879" t="s">
        <v>118</v>
      </c>
      <c r="N192" s="880"/>
      <c r="O192" s="650" t="s">
        <v>119</v>
      </c>
      <c r="P192" s="877" t="s">
        <v>120</v>
      </c>
      <c r="Q192" s="881"/>
      <c r="R192" s="644"/>
      <c r="S192" s="651"/>
      <c r="T192" s="879" t="s">
        <v>121</v>
      </c>
      <c r="U192" s="882"/>
      <c r="V192" s="880"/>
      <c r="W192" s="644" t="s">
        <v>13</v>
      </c>
      <c r="X192" s="649"/>
      <c r="Y192" s="652" t="s">
        <v>122</v>
      </c>
    </row>
    <row r="193" spans="1:27" s="643" customFormat="1" ht="10.5" x14ac:dyDescent="0.25">
      <c r="A193" s="644" t="s">
        <v>123</v>
      </c>
      <c r="B193" s="645"/>
      <c r="C193" s="885"/>
      <c r="D193" s="885"/>
      <c r="E193" s="653" t="s">
        <v>799</v>
      </c>
      <c r="F193" s="654" t="s">
        <v>124</v>
      </c>
      <c r="G193" s="865" t="s">
        <v>125</v>
      </c>
      <c r="H193" s="866"/>
      <c r="I193" s="655"/>
      <c r="J193" s="656" t="s">
        <v>126</v>
      </c>
      <c r="K193" s="863" t="s">
        <v>127</v>
      </c>
      <c r="L193" s="864"/>
      <c r="M193" s="867" t="s">
        <v>128</v>
      </c>
      <c r="N193" s="868"/>
      <c r="O193" s="654"/>
      <c r="P193" s="869" t="s">
        <v>129</v>
      </c>
      <c r="Q193" s="864"/>
      <c r="R193" s="863" t="s">
        <v>130</v>
      </c>
      <c r="S193" s="870"/>
      <c r="T193" s="863" t="s">
        <v>131</v>
      </c>
      <c r="U193" s="870"/>
      <c r="V193" s="871"/>
      <c r="W193" s="863" t="s">
        <v>132</v>
      </c>
      <c r="X193" s="864"/>
      <c r="Y193" s="654" t="s">
        <v>133</v>
      </c>
    </row>
    <row r="194" spans="1:27" s="643" customFormat="1" ht="10.5" x14ac:dyDescent="0.25">
      <c r="A194" s="657"/>
      <c r="B194" s="717"/>
      <c r="C194" s="885"/>
      <c r="D194" s="885"/>
      <c r="E194" s="653" t="s">
        <v>6</v>
      </c>
      <c r="F194" s="641" t="s">
        <v>134</v>
      </c>
      <c r="G194" s="641" t="s">
        <v>135</v>
      </c>
      <c r="H194" s="641" t="s">
        <v>135</v>
      </c>
      <c r="I194" s="659" t="s">
        <v>136</v>
      </c>
      <c r="J194" s="659" t="s">
        <v>137</v>
      </c>
      <c r="K194" s="660" t="s">
        <v>138</v>
      </c>
      <c r="L194" s="641" t="s">
        <v>139</v>
      </c>
      <c r="M194" s="641" t="s">
        <v>140</v>
      </c>
      <c r="N194" s="641" t="s">
        <v>141</v>
      </c>
      <c r="O194" s="641" t="s">
        <v>142</v>
      </c>
      <c r="P194" s="660" t="s">
        <v>138</v>
      </c>
      <c r="Q194" s="660" t="s">
        <v>143</v>
      </c>
      <c r="R194" s="641" t="s">
        <v>138</v>
      </c>
      <c r="S194" s="641" t="s">
        <v>144</v>
      </c>
      <c r="T194" s="641" t="s">
        <v>145</v>
      </c>
      <c r="U194" s="650" t="s">
        <v>146</v>
      </c>
      <c r="V194" s="661" t="s">
        <v>147</v>
      </c>
      <c r="W194" s="662" t="s">
        <v>148</v>
      </c>
      <c r="X194" s="641" t="s">
        <v>149</v>
      </c>
      <c r="Y194" s="641" t="s">
        <v>150</v>
      </c>
    </row>
    <row r="195" spans="1:27" s="643" customFormat="1" ht="10.5" x14ac:dyDescent="0.25">
      <c r="A195" s="644"/>
      <c r="B195" s="645"/>
      <c r="C195" s="885"/>
      <c r="D195" s="885"/>
      <c r="E195" s="646"/>
      <c r="F195" s="650"/>
      <c r="G195" s="650" t="s">
        <v>152</v>
      </c>
      <c r="H195" s="650" t="s">
        <v>153</v>
      </c>
      <c r="I195" s="663" t="s">
        <v>154</v>
      </c>
      <c r="J195" s="663" t="s">
        <v>155</v>
      </c>
      <c r="K195" s="664" t="s">
        <v>156</v>
      </c>
      <c r="L195" s="650" t="s">
        <v>157</v>
      </c>
      <c r="M195" s="650" t="s">
        <v>158</v>
      </c>
      <c r="N195" s="650" t="s">
        <v>159</v>
      </c>
      <c r="O195" s="650" t="s">
        <v>160</v>
      </c>
      <c r="P195" s="664" t="s">
        <v>161</v>
      </c>
      <c r="Q195" s="664" t="s">
        <v>162</v>
      </c>
      <c r="R195" s="650" t="s">
        <v>163</v>
      </c>
      <c r="S195" s="650" t="s">
        <v>164</v>
      </c>
      <c r="T195" s="650" t="s">
        <v>165</v>
      </c>
      <c r="U195" s="650" t="s">
        <v>166</v>
      </c>
      <c r="V195" s="661" t="s">
        <v>167</v>
      </c>
      <c r="W195" s="662" t="s">
        <v>168</v>
      </c>
      <c r="X195" s="650" t="s">
        <v>169</v>
      </c>
      <c r="Y195" s="650" t="s">
        <v>170</v>
      </c>
    </row>
    <row r="196" spans="1:27" s="643" customFormat="1" ht="10.5" x14ac:dyDescent="0.25">
      <c r="A196" s="665"/>
      <c r="B196" s="666"/>
      <c r="C196" s="886"/>
      <c r="D196" s="886"/>
      <c r="E196" s="667"/>
      <c r="F196" s="654" t="s">
        <v>171</v>
      </c>
      <c r="G196" s="654" t="s">
        <v>172</v>
      </c>
      <c r="H196" s="654" t="s">
        <v>173</v>
      </c>
      <c r="I196" s="668" t="s">
        <v>174</v>
      </c>
      <c r="J196" s="668"/>
      <c r="K196" s="669" t="s">
        <v>175</v>
      </c>
      <c r="L196" s="654" t="s">
        <v>176</v>
      </c>
      <c r="M196" s="654"/>
      <c r="N196" s="670" t="s">
        <v>177</v>
      </c>
      <c r="O196" s="654" t="s">
        <v>178</v>
      </c>
      <c r="P196" s="669" t="s">
        <v>179</v>
      </c>
      <c r="Q196" s="669"/>
      <c r="R196" s="654" t="s">
        <v>180</v>
      </c>
      <c r="S196" s="654" t="s">
        <v>181</v>
      </c>
      <c r="T196" s="654" t="s">
        <v>182</v>
      </c>
      <c r="U196" s="670" t="s">
        <v>183</v>
      </c>
      <c r="V196" s="669" t="s">
        <v>184</v>
      </c>
      <c r="W196" s="654" t="s">
        <v>185</v>
      </c>
      <c r="X196" s="654" t="s">
        <v>186</v>
      </c>
      <c r="Y196" s="654" t="s">
        <v>187</v>
      </c>
    </row>
    <row r="197" spans="1:27" s="677" customFormat="1" x14ac:dyDescent="0.3">
      <c r="A197" s="698" t="s">
        <v>848</v>
      </c>
      <c r="B197" s="679">
        <v>330800</v>
      </c>
      <c r="C197" s="696">
        <v>10000</v>
      </c>
      <c r="D197" s="707">
        <f t="shared" ref="D197:D205" si="27">+G197+H197+I197+J197+K197+L197+M197+N197+O197+P197+Q197+R197+S197+T197+U197+V197+W197+X197+Y197</f>
        <v>0</v>
      </c>
      <c r="E197" s="696">
        <f t="shared" ref="E197:E205" si="28">+C197-D197</f>
        <v>10000</v>
      </c>
      <c r="F197" s="680"/>
      <c r="G197" s="680"/>
      <c r="H197" s="680"/>
      <c r="I197" s="680"/>
      <c r="J197" s="680"/>
      <c r="K197" s="680"/>
      <c r="L197" s="680"/>
      <c r="M197" s="680"/>
      <c r="N197" s="680"/>
      <c r="O197" s="680"/>
      <c r="P197" s="680"/>
      <c r="Q197" s="680"/>
      <c r="R197" s="680"/>
      <c r="S197" s="680"/>
      <c r="T197" s="680"/>
      <c r="U197" s="680"/>
      <c r="V197" s="680"/>
      <c r="W197" s="680"/>
      <c r="X197" s="680"/>
      <c r="Y197" s="680"/>
    </row>
    <row r="198" spans="1:27" s="677" customFormat="1" x14ac:dyDescent="0.3">
      <c r="A198" s="698" t="s">
        <v>849</v>
      </c>
      <c r="B198" s="699">
        <v>330900</v>
      </c>
      <c r="C198" s="700">
        <v>10000</v>
      </c>
      <c r="D198" s="707">
        <f t="shared" si="27"/>
        <v>6173.72</v>
      </c>
      <c r="E198" s="696">
        <f t="shared" si="28"/>
        <v>3826.2799999999997</v>
      </c>
      <c r="F198" s="695"/>
      <c r="G198" s="695">
        <v>6173.72</v>
      </c>
      <c r="H198" s="695"/>
      <c r="I198" s="695"/>
      <c r="J198" s="695"/>
      <c r="K198" s="695"/>
      <c r="L198" s="695"/>
      <c r="M198" s="695"/>
      <c r="N198" s="695"/>
      <c r="O198" s="695"/>
      <c r="P198" s="695"/>
      <c r="Q198" s="695"/>
      <c r="R198" s="695"/>
      <c r="S198" s="695"/>
      <c r="T198" s="695"/>
      <c r="U198" s="695"/>
      <c r="V198" s="695"/>
      <c r="W198" s="695"/>
      <c r="X198" s="695"/>
      <c r="Y198" s="695"/>
    </row>
    <row r="199" spans="1:27" s="677" customFormat="1" x14ac:dyDescent="0.3">
      <c r="A199" s="678" t="s">
        <v>850</v>
      </c>
      <c r="B199" s="699">
        <v>331000</v>
      </c>
      <c r="C199" s="700">
        <f>2000+2000</f>
        <v>4000</v>
      </c>
      <c r="D199" s="707">
        <f t="shared" si="27"/>
        <v>0</v>
      </c>
      <c r="E199" s="696">
        <f t="shared" si="28"/>
        <v>4000</v>
      </c>
      <c r="F199" s="695"/>
      <c r="G199" s="695"/>
      <c r="H199" s="695"/>
      <c r="I199" s="695"/>
      <c r="J199" s="680"/>
      <c r="K199" s="695"/>
      <c r="L199" s="695"/>
      <c r="M199" s="695"/>
      <c r="N199" s="695"/>
      <c r="O199" s="695"/>
      <c r="P199" s="695"/>
      <c r="Q199" s="695"/>
      <c r="R199" s="695"/>
      <c r="S199" s="695"/>
      <c r="T199" s="695"/>
      <c r="U199" s="695"/>
      <c r="V199" s="695"/>
      <c r="W199" s="695"/>
      <c r="X199" s="695"/>
      <c r="Y199" s="695"/>
    </row>
    <row r="200" spans="1:27" s="677" customFormat="1" x14ac:dyDescent="0.3">
      <c r="A200" s="709" t="s">
        <v>297</v>
      </c>
      <c r="B200" s="711">
        <v>331100</v>
      </c>
      <c r="C200" s="712">
        <v>5000</v>
      </c>
      <c r="D200" s="707">
        <f t="shared" si="27"/>
        <v>0</v>
      </c>
      <c r="E200" s="696">
        <f t="shared" si="28"/>
        <v>5000</v>
      </c>
      <c r="F200" s="713"/>
      <c r="G200" s="713"/>
      <c r="H200" s="713"/>
      <c r="I200" s="713"/>
      <c r="J200" s="713"/>
      <c r="K200" s="713"/>
      <c r="L200" s="713"/>
      <c r="M200" s="713"/>
      <c r="N200" s="713"/>
      <c r="O200" s="713"/>
      <c r="P200" s="713"/>
      <c r="Q200" s="713"/>
      <c r="R200" s="713"/>
      <c r="S200" s="713"/>
      <c r="T200" s="713"/>
      <c r="U200" s="713"/>
      <c r="V200" s="713"/>
      <c r="W200" s="713"/>
      <c r="X200" s="713"/>
      <c r="Y200" s="713"/>
    </row>
    <row r="201" spans="1:27" s="677" customFormat="1" x14ac:dyDescent="0.3">
      <c r="A201" s="709" t="s">
        <v>298</v>
      </c>
      <c r="B201" s="711">
        <v>331200</v>
      </c>
      <c r="C201" s="712">
        <v>10000</v>
      </c>
      <c r="D201" s="707">
        <f t="shared" si="27"/>
        <v>0</v>
      </c>
      <c r="E201" s="696">
        <f t="shared" si="28"/>
        <v>10000</v>
      </c>
      <c r="F201" s="713"/>
      <c r="G201" s="713"/>
      <c r="H201" s="713"/>
      <c r="I201" s="713"/>
      <c r="J201" s="680"/>
      <c r="K201" s="713"/>
      <c r="L201" s="713"/>
      <c r="M201" s="713"/>
      <c r="N201" s="713"/>
      <c r="O201" s="713"/>
      <c r="P201" s="713"/>
      <c r="Q201" s="713"/>
      <c r="R201" s="713"/>
      <c r="S201" s="713"/>
      <c r="T201" s="713">
        <v>0</v>
      </c>
      <c r="U201" s="713"/>
      <c r="V201" s="713"/>
      <c r="W201" s="713"/>
      <c r="X201" s="713"/>
      <c r="Y201" s="713"/>
    </row>
    <row r="202" spans="1:27" s="677" customFormat="1" x14ac:dyDescent="0.3">
      <c r="A202" s="709" t="s">
        <v>299</v>
      </c>
      <c r="B202" s="711">
        <v>331300</v>
      </c>
      <c r="C202" s="712">
        <f>35000+15000+5000+10000</f>
        <v>65000</v>
      </c>
      <c r="D202" s="707">
        <f t="shared" si="27"/>
        <v>50230</v>
      </c>
      <c r="E202" s="696">
        <f t="shared" si="28"/>
        <v>14770</v>
      </c>
      <c r="F202" s="713"/>
      <c r="G202" s="713">
        <v>34920</v>
      </c>
      <c r="H202" s="713">
        <v>7390</v>
      </c>
      <c r="I202" s="713"/>
      <c r="J202" s="680"/>
      <c r="K202" s="713"/>
      <c r="L202" s="713"/>
      <c r="M202" s="713"/>
      <c r="N202" s="713"/>
      <c r="O202" s="713"/>
      <c r="P202" s="713"/>
      <c r="Q202" s="713"/>
      <c r="R202" s="713">
        <v>7920</v>
      </c>
      <c r="S202" s="713"/>
      <c r="T202" s="713"/>
      <c r="U202" s="713"/>
      <c r="V202" s="713"/>
      <c r="W202" s="713"/>
      <c r="X202" s="713"/>
      <c r="Y202" s="713"/>
      <c r="AA202" s="677">
        <v>6</v>
      </c>
    </row>
    <row r="203" spans="1:27" s="677" customFormat="1" x14ac:dyDescent="0.3">
      <c r="A203" s="709" t="s">
        <v>851</v>
      </c>
      <c r="B203" s="711">
        <v>331400</v>
      </c>
      <c r="C203" s="712">
        <v>10000</v>
      </c>
      <c r="D203" s="707">
        <f t="shared" si="27"/>
        <v>0</v>
      </c>
      <c r="E203" s="696">
        <f t="shared" si="28"/>
        <v>10000</v>
      </c>
      <c r="F203" s="713"/>
      <c r="G203" s="713"/>
      <c r="H203" s="713"/>
      <c r="I203" s="713"/>
      <c r="J203" s="680"/>
      <c r="K203" s="713"/>
      <c r="L203" s="713"/>
      <c r="M203" s="713"/>
      <c r="N203" s="713"/>
      <c r="O203" s="713"/>
      <c r="P203" s="713"/>
      <c r="Q203" s="713"/>
      <c r="R203" s="713"/>
      <c r="S203" s="713"/>
      <c r="T203" s="713"/>
      <c r="U203" s="713"/>
      <c r="V203" s="713"/>
      <c r="W203" s="713"/>
      <c r="X203" s="713"/>
      <c r="Y203" s="713"/>
    </row>
    <row r="204" spans="1:27" s="677" customFormat="1" x14ac:dyDescent="0.3">
      <c r="A204" s="709" t="s">
        <v>852</v>
      </c>
      <c r="B204" s="711">
        <v>331500</v>
      </c>
      <c r="C204" s="712">
        <f>25000+150000</f>
        <v>175000</v>
      </c>
      <c r="D204" s="707">
        <f t="shared" si="27"/>
        <v>115700.37</v>
      </c>
      <c r="E204" s="696">
        <f t="shared" si="28"/>
        <v>59299.630000000005</v>
      </c>
      <c r="F204" s="713"/>
      <c r="G204" s="713">
        <v>23540.73</v>
      </c>
      <c r="H204" s="713"/>
      <c r="I204" s="713"/>
      <c r="J204" s="680"/>
      <c r="K204" s="713"/>
      <c r="L204" s="713"/>
      <c r="M204" s="713"/>
      <c r="N204" s="713"/>
      <c r="O204" s="713"/>
      <c r="P204" s="713"/>
      <c r="Q204" s="713"/>
      <c r="R204" s="713">
        <v>92159.64</v>
      </c>
      <c r="S204" s="713"/>
      <c r="T204" s="713"/>
      <c r="U204" s="713"/>
      <c r="V204" s="713"/>
      <c r="W204" s="713"/>
      <c r="X204" s="713"/>
      <c r="Y204" s="713"/>
    </row>
    <row r="205" spans="1:27" s="677" customFormat="1" x14ac:dyDescent="0.3">
      <c r="A205" s="709" t="s">
        <v>300</v>
      </c>
      <c r="B205" s="711">
        <v>331600</v>
      </c>
      <c r="C205" s="712">
        <v>400000</v>
      </c>
      <c r="D205" s="707">
        <f t="shared" si="27"/>
        <v>383631.45</v>
      </c>
      <c r="E205" s="696">
        <f t="shared" si="28"/>
        <v>16368.549999999988</v>
      </c>
      <c r="F205" s="713"/>
      <c r="G205" s="713"/>
      <c r="H205" s="713"/>
      <c r="I205" s="713"/>
      <c r="J205" s="713"/>
      <c r="K205" s="713"/>
      <c r="L205" s="713"/>
      <c r="M205" s="713"/>
      <c r="N205" s="713"/>
      <c r="O205" s="713"/>
      <c r="P205" s="713"/>
      <c r="Q205" s="713"/>
      <c r="R205" s="713"/>
      <c r="S205" s="713"/>
      <c r="T205" s="713"/>
      <c r="U205" s="713"/>
      <c r="V205" s="713"/>
      <c r="W205" s="713"/>
      <c r="X205" s="713"/>
      <c r="Y205" s="713">
        <v>383631.45</v>
      </c>
    </row>
    <row r="206" spans="1:27" s="677" customFormat="1" x14ac:dyDescent="0.3">
      <c r="A206" s="684" t="s">
        <v>189</v>
      </c>
      <c r="B206" s="685"/>
      <c r="C206" s="687">
        <f t="shared" ref="C206:Y206" si="29">SUM(C170:C205)</f>
        <v>1638200</v>
      </c>
      <c r="D206" s="687">
        <f t="shared" si="29"/>
        <v>1331574.8500000001</v>
      </c>
      <c r="E206" s="687">
        <f t="shared" si="29"/>
        <v>306625.14999999997</v>
      </c>
      <c r="F206" s="687">
        <f t="shared" si="29"/>
        <v>0</v>
      </c>
      <c r="G206" s="687">
        <f t="shared" si="29"/>
        <v>232919.84000000003</v>
      </c>
      <c r="H206" s="687">
        <f t="shared" si="29"/>
        <v>51816.75</v>
      </c>
      <c r="I206" s="687">
        <f t="shared" si="29"/>
        <v>0</v>
      </c>
      <c r="J206" s="687">
        <f t="shared" si="29"/>
        <v>0</v>
      </c>
      <c r="K206" s="687">
        <f t="shared" si="29"/>
        <v>8774</v>
      </c>
      <c r="L206" s="687">
        <f t="shared" si="29"/>
        <v>459715.82</v>
      </c>
      <c r="M206" s="687">
        <f t="shared" si="29"/>
        <v>0</v>
      </c>
      <c r="N206" s="687">
        <f t="shared" si="29"/>
        <v>0</v>
      </c>
      <c r="O206" s="687">
        <f t="shared" si="29"/>
        <v>0</v>
      </c>
      <c r="P206" s="687">
        <f t="shared" si="29"/>
        <v>0</v>
      </c>
      <c r="Q206" s="687">
        <f t="shared" si="29"/>
        <v>0</v>
      </c>
      <c r="R206" s="687">
        <f t="shared" si="29"/>
        <v>194716.99</v>
      </c>
      <c r="S206" s="687">
        <f t="shared" si="29"/>
        <v>0</v>
      </c>
      <c r="T206" s="687">
        <f t="shared" si="29"/>
        <v>0</v>
      </c>
      <c r="U206" s="687">
        <f t="shared" si="29"/>
        <v>0</v>
      </c>
      <c r="V206" s="687">
        <f t="shared" si="29"/>
        <v>0</v>
      </c>
      <c r="W206" s="687">
        <f t="shared" si="29"/>
        <v>0</v>
      </c>
      <c r="X206" s="687">
        <f t="shared" si="29"/>
        <v>0</v>
      </c>
      <c r="Y206" s="687">
        <f t="shared" si="29"/>
        <v>383631.45</v>
      </c>
    </row>
    <row r="207" spans="1:27" s="677" customFormat="1" x14ac:dyDescent="0.3">
      <c r="A207" s="722" t="s">
        <v>54</v>
      </c>
      <c r="B207" s="672"/>
      <c r="C207" s="700"/>
      <c r="D207" s="700"/>
      <c r="E207" s="700"/>
      <c r="F207" s="695"/>
      <c r="G207" s="695"/>
      <c r="H207" s="695"/>
      <c r="I207" s="695"/>
      <c r="J207" s="695"/>
      <c r="K207" s="695"/>
      <c r="L207" s="695"/>
      <c r="M207" s="695"/>
      <c r="N207" s="695"/>
      <c r="O207" s="695"/>
      <c r="P207" s="695"/>
      <c r="Q207" s="695"/>
      <c r="R207" s="695"/>
      <c r="S207" s="695"/>
      <c r="T207" s="695"/>
      <c r="U207" s="695"/>
      <c r="V207" s="695"/>
      <c r="W207" s="695"/>
      <c r="X207" s="695"/>
      <c r="Y207" s="695"/>
    </row>
    <row r="208" spans="1:27" s="677" customFormat="1" x14ac:dyDescent="0.3">
      <c r="A208" s="756" t="s">
        <v>301</v>
      </c>
      <c r="B208" s="679">
        <v>340100</v>
      </c>
      <c r="C208" s="696">
        <f>150000+600000</f>
        <v>750000</v>
      </c>
      <c r="D208" s="707">
        <f>+G208+H208+I208+J208+K208+L208+M208+N208+O208+P208+Q208+R208+S208+T208+U208+V208+W208+X208+Y208</f>
        <v>740145.41</v>
      </c>
      <c r="E208" s="696">
        <f t="shared" ref="E208:E212" si="30">+C208-D208</f>
        <v>9854.5899999999674</v>
      </c>
      <c r="F208" s="680"/>
      <c r="G208" s="680">
        <v>145162.42000000001</v>
      </c>
      <c r="H208" s="680"/>
      <c r="I208" s="680"/>
      <c r="J208" s="680"/>
      <c r="K208" s="680"/>
      <c r="L208" s="680"/>
      <c r="M208" s="680"/>
      <c r="N208" s="680"/>
      <c r="O208" s="680"/>
      <c r="P208" s="680"/>
      <c r="Q208" s="680"/>
      <c r="R208" s="680"/>
      <c r="S208" s="680"/>
      <c r="T208" s="680"/>
      <c r="U208" s="680"/>
      <c r="V208" s="680"/>
      <c r="W208" s="680"/>
      <c r="X208" s="680"/>
      <c r="Y208" s="680">
        <v>594982.99</v>
      </c>
    </row>
    <row r="209" spans="1:25" s="677" customFormat="1" x14ac:dyDescent="0.3">
      <c r="A209" s="756" t="s">
        <v>853</v>
      </c>
      <c r="B209" s="711">
        <v>340300</v>
      </c>
      <c r="C209" s="712">
        <v>5000</v>
      </c>
      <c r="D209" s="707">
        <f>+G209+H209+I209+J209+K209+L209+M209+N209+O209+P209+Q209+R209+S209+T209+U209+V209+W209+X209+Y209</f>
        <v>1997.43</v>
      </c>
      <c r="E209" s="696">
        <f t="shared" si="30"/>
        <v>3002.5699999999997</v>
      </c>
      <c r="F209" s="680"/>
      <c r="G209" s="680">
        <v>1997.43</v>
      </c>
      <c r="H209" s="680"/>
      <c r="I209" s="680"/>
      <c r="J209" s="680"/>
      <c r="K209" s="680"/>
      <c r="L209" s="680"/>
      <c r="M209" s="680"/>
      <c r="N209" s="680"/>
      <c r="O209" s="680"/>
      <c r="P209" s="680"/>
      <c r="Q209" s="680"/>
      <c r="R209" s="680"/>
      <c r="S209" s="680"/>
      <c r="T209" s="680"/>
      <c r="U209" s="680"/>
      <c r="V209" s="680"/>
      <c r="W209" s="680"/>
      <c r="X209" s="680"/>
      <c r="Y209" s="680"/>
    </row>
    <row r="210" spans="1:25" s="677" customFormat="1" x14ac:dyDescent="0.3">
      <c r="A210" s="678" t="s">
        <v>854</v>
      </c>
      <c r="B210" s="679">
        <v>340400</v>
      </c>
      <c r="C210" s="696">
        <f>1000+20000</f>
        <v>21000</v>
      </c>
      <c r="D210" s="707">
        <f>+G210+H210+I210+J210+K210+L210+M210+N210+O210+P210+Q210+R210+S210+T210+U210+V210+W210+X210+Y210</f>
        <v>7740</v>
      </c>
      <c r="E210" s="696">
        <f t="shared" si="30"/>
        <v>13260</v>
      </c>
      <c r="F210" s="680"/>
      <c r="G210" s="680"/>
      <c r="H210" s="680">
        <v>7740</v>
      </c>
      <c r="I210" s="680"/>
      <c r="J210" s="680"/>
      <c r="K210" s="680"/>
      <c r="L210" s="680"/>
      <c r="M210" s="680"/>
      <c r="N210" s="680"/>
      <c r="O210" s="680"/>
      <c r="P210" s="680"/>
      <c r="Q210" s="680"/>
      <c r="R210" s="680"/>
      <c r="S210" s="680"/>
      <c r="T210" s="680"/>
      <c r="U210" s="680"/>
      <c r="V210" s="680"/>
      <c r="W210" s="680"/>
      <c r="X210" s="680"/>
      <c r="Y210" s="680"/>
    </row>
    <row r="211" spans="1:25" s="677" customFormat="1" x14ac:dyDescent="0.3">
      <c r="A211" s="757" t="s">
        <v>855</v>
      </c>
      <c r="B211" s="679">
        <v>340500</v>
      </c>
      <c r="C211" s="696">
        <f>95000+20000</f>
        <v>115000</v>
      </c>
      <c r="D211" s="707">
        <f>+G211+H211+I211+J211+K211+L211+M211+N211+O211+P211+Q211+R211+S211+T211+U211+V211+W211+X211+Y211</f>
        <v>102720</v>
      </c>
      <c r="E211" s="696">
        <f t="shared" si="30"/>
        <v>12280</v>
      </c>
      <c r="F211" s="680"/>
      <c r="G211" s="680">
        <v>102720</v>
      </c>
      <c r="H211" s="680"/>
      <c r="I211" s="680"/>
      <c r="J211" s="680"/>
      <c r="K211" s="680"/>
      <c r="L211" s="680"/>
      <c r="M211" s="680"/>
      <c r="N211" s="680"/>
      <c r="O211" s="680"/>
      <c r="P211" s="680"/>
      <c r="Q211" s="680"/>
      <c r="R211" s="680"/>
      <c r="S211" s="680"/>
      <c r="T211" s="680"/>
      <c r="U211" s="680"/>
      <c r="V211" s="680"/>
      <c r="W211" s="680"/>
      <c r="X211" s="680"/>
      <c r="Y211" s="680"/>
    </row>
    <row r="212" spans="1:25" s="677" customFormat="1" x14ac:dyDescent="0.3">
      <c r="A212" s="758" t="s">
        <v>856</v>
      </c>
      <c r="B212" s="734">
        <v>340500</v>
      </c>
      <c r="C212" s="718">
        <v>700000</v>
      </c>
      <c r="D212" s="707">
        <f>+G212+H212+I212+J212+K212+L212+M212+N212+O212+P212+Q212+R212+S212+T212+U212+V212+W212+X212+Y212</f>
        <v>695350.1</v>
      </c>
      <c r="E212" s="696">
        <f t="shared" si="30"/>
        <v>4649.9000000000233</v>
      </c>
      <c r="F212" s="728"/>
      <c r="G212" s="728"/>
      <c r="H212" s="680"/>
      <c r="I212" s="680"/>
      <c r="J212" s="680"/>
      <c r="K212" s="680"/>
      <c r="L212" s="680"/>
      <c r="M212" s="680"/>
      <c r="N212" s="680"/>
      <c r="O212" s="680"/>
      <c r="P212" s="680"/>
      <c r="Q212" s="680"/>
      <c r="R212" s="680"/>
      <c r="S212" s="680"/>
      <c r="T212" s="680"/>
      <c r="U212" s="680"/>
      <c r="V212" s="680"/>
      <c r="W212" s="680"/>
      <c r="X212" s="680"/>
      <c r="Y212" s="680">
        <v>695350.1</v>
      </c>
    </row>
    <row r="213" spans="1:25" s="677" customFormat="1" x14ac:dyDescent="0.3">
      <c r="A213" s="684" t="s">
        <v>189</v>
      </c>
      <c r="B213" s="685"/>
      <c r="C213" s="687">
        <f t="shared" ref="C213:Y213" si="31">SUM(C208:C212)</f>
        <v>1591000</v>
      </c>
      <c r="D213" s="687">
        <f t="shared" si="31"/>
        <v>1547952.94</v>
      </c>
      <c r="E213" s="687">
        <f t="shared" si="31"/>
        <v>43047.05999999999</v>
      </c>
      <c r="F213" s="687">
        <f t="shared" si="31"/>
        <v>0</v>
      </c>
      <c r="G213" s="687">
        <f t="shared" si="31"/>
        <v>249879.85</v>
      </c>
      <c r="H213" s="687">
        <f t="shared" si="31"/>
        <v>7740</v>
      </c>
      <c r="I213" s="687">
        <f t="shared" si="31"/>
        <v>0</v>
      </c>
      <c r="J213" s="687">
        <f t="shared" si="31"/>
        <v>0</v>
      </c>
      <c r="K213" s="687">
        <f t="shared" si="31"/>
        <v>0</v>
      </c>
      <c r="L213" s="687">
        <f t="shared" si="31"/>
        <v>0</v>
      </c>
      <c r="M213" s="687">
        <f t="shared" si="31"/>
        <v>0</v>
      </c>
      <c r="N213" s="687">
        <f t="shared" si="31"/>
        <v>0</v>
      </c>
      <c r="O213" s="687">
        <f t="shared" si="31"/>
        <v>0</v>
      </c>
      <c r="P213" s="687">
        <f t="shared" si="31"/>
        <v>0</v>
      </c>
      <c r="Q213" s="687">
        <f t="shared" si="31"/>
        <v>0</v>
      </c>
      <c r="R213" s="687">
        <f t="shared" si="31"/>
        <v>0</v>
      </c>
      <c r="S213" s="687">
        <f t="shared" si="31"/>
        <v>0</v>
      </c>
      <c r="T213" s="687">
        <f t="shared" si="31"/>
        <v>0</v>
      </c>
      <c r="U213" s="687">
        <f t="shared" si="31"/>
        <v>0</v>
      </c>
      <c r="V213" s="687">
        <f t="shared" si="31"/>
        <v>0</v>
      </c>
      <c r="W213" s="687">
        <f t="shared" si="31"/>
        <v>0</v>
      </c>
      <c r="X213" s="687">
        <f t="shared" si="31"/>
        <v>0</v>
      </c>
      <c r="Y213" s="687">
        <f t="shared" si="31"/>
        <v>1290333.0899999999</v>
      </c>
    </row>
    <row r="227" spans="1:25" ht="23.25" x14ac:dyDescent="0.5">
      <c r="A227" s="883" t="s">
        <v>76</v>
      </c>
      <c r="B227" s="883"/>
      <c r="C227" s="883"/>
      <c r="D227" s="883"/>
      <c r="E227" s="883"/>
      <c r="F227" s="883"/>
      <c r="G227" s="883"/>
      <c r="H227" s="883"/>
      <c r="I227" s="883"/>
      <c r="J227" s="883"/>
      <c r="K227" s="883"/>
      <c r="L227" s="883"/>
      <c r="M227" s="883"/>
      <c r="N227" s="883"/>
      <c r="O227" s="883"/>
      <c r="P227" s="883"/>
      <c r="Q227" s="883"/>
      <c r="R227" s="883"/>
      <c r="S227" s="883"/>
      <c r="T227" s="883"/>
      <c r="U227" s="883"/>
      <c r="V227" s="883"/>
      <c r="W227" s="883"/>
      <c r="X227" s="883"/>
      <c r="Y227" s="883"/>
    </row>
    <row r="228" spans="1:25" ht="23.25" x14ac:dyDescent="0.5">
      <c r="A228" s="883" t="s">
        <v>792</v>
      </c>
      <c r="B228" s="883"/>
      <c r="C228" s="883"/>
      <c r="D228" s="883"/>
      <c r="E228" s="883"/>
      <c r="F228" s="883"/>
      <c r="G228" s="883"/>
      <c r="H228" s="883"/>
      <c r="I228" s="883"/>
      <c r="J228" s="883"/>
      <c r="K228" s="883"/>
      <c r="L228" s="883"/>
      <c r="M228" s="883"/>
      <c r="N228" s="883"/>
      <c r="O228" s="883"/>
      <c r="P228" s="883"/>
      <c r="Q228" s="883"/>
      <c r="R228" s="883"/>
      <c r="S228" s="883"/>
      <c r="T228" s="883"/>
      <c r="U228" s="883"/>
      <c r="V228" s="883"/>
      <c r="W228" s="883"/>
      <c r="X228" s="883"/>
      <c r="Y228" s="883"/>
    </row>
    <row r="229" spans="1:25" ht="23.25" x14ac:dyDescent="0.5">
      <c r="A229" s="883" t="s">
        <v>793</v>
      </c>
      <c r="B229" s="883"/>
      <c r="C229" s="883"/>
      <c r="D229" s="883"/>
      <c r="E229" s="883"/>
      <c r="F229" s="883"/>
      <c r="G229" s="883"/>
      <c r="H229" s="883"/>
      <c r="I229" s="883"/>
      <c r="J229" s="883"/>
      <c r="K229" s="883"/>
      <c r="L229" s="883"/>
      <c r="M229" s="883"/>
      <c r="N229" s="883"/>
      <c r="O229" s="883"/>
      <c r="P229" s="883"/>
      <c r="Q229" s="883"/>
      <c r="R229" s="883"/>
      <c r="S229" s="883"/>
      <c r="T229" s="883"/>
      <c r="U229" s="883"/>
      <c r="V229" s="883"/>
      <c r="W229" s="883"/>
      <c r="X229" s="883"/>
      <c r="Y229" s="883"/>
    </row>
    <row r="230" spans="1:25" s="643" customFormat="1" ht="10.5" x14ac:dyDescent="0.25">
      <c r="A230" s="638"/>
      <c r="B230" s="639"/>
      <c r="C230" s="884" t="s">
        <v>6</v>
      </c>
      <c r="D230" s="884" t="s">
        <v>794</v>
      </c>
      <c r="E230" s="640"/>
      <c r="F230" s="641" t="s">
        <v>41</v>
      </c>
      <c r="G230" s="875" t="s">
        <v>110</v>
      </c>
      <c r="H230" s="876"/>
      <c r="I230" s="872" t="s">
        <v>111</v>
      </c>
      <c r="J230" s="887"/>
      <c r="K230" s="874" t="s">
        <v>112</v>
      </c>
      <c r="L230" s="873"/>
      <c r="M230" s="888" t="s">
        <v>113</v>
      </c>
      <c r="N230" s="889"/>
      <c r="O230" s="642" t="s">
        <v>113</v>
      </c>
      <c r="P230" s="872" t="s">
        <v>113</v>
      </c>
      <c r="Q230" s="873"/>
      <c r="R230" s="874" t="s">
        <v>114</v>
      </c>
      <c r="S230" s="875"/>
      <c r="T230" s="874" t="s">
        <v>115</v>
      </c>
      <c r="U230" s="875"/>
      <c r="V230" s="876"/>
      <c r="W230" s="874" t="s">
        <v>116</v>
      </c>
      <c r="X230" s="873"/>
      <c r="Y230" s="642" t="s">
        <v>113</v>
      </c>
    </row>
    <row r="231" spans="1:25" s="643" customFormat="1" ht="10.5" x14ac:dyDescent="0.25">
      <c r="A231" s="644"/>
      <c r="B231" s="645"/>
      <c r="C231" s="885"/>
      <c r="D231" s="885"/>
      <c r="E231" s="646"/>
      <c r="F231" s="647"/>
      <c r="G231" s="865"/>
      <c r="H231" s="866"/>
      <c r="I231" s="877" t="s">
        <v>117</v>
      </c>
      <c r="J231" s="878"/>
      <c r="K231" s="648"/>
      <c r="L231" s="649"/>
      <c r="M231" s="879" t="s">
        <v>118</v>
      </c>
      <c r="N231" s="880"/>
      <c r="O231" s="650" t="s">
        <v>119</v>
      </c>
      <c r="P231" s="877" t="s">
        <v>120</v>
      </c>
      <c r="Q231" s="881"/>
      <c r="R231" s="644"/>
      <c r="S231" s="651"/>
      <c r="T231" s="879" t="s">
        <v>121</v>
      </c>
      <c r="U231" s="882"/>
      <c r="V231" s="880"/>
      <c r="W231" s="644" t="s">
        <v>13</v>
      </c>
      <c r="X231" s="649"/>
      <c r="Y231" s="652" t="s">
        <v>122</v>
      </c>
    </row>
    <row r="232" spans="1:25" s="643" customFormat="1" ht="10.5" x14ac:dyDescent="0.25">
      <c r="A232" s="644" t="s">
        <v>123</v>
      </c>
      <c r="B232" s="645"/>
      <c r="C232" s="885"/>
      <c r="D232" s="885"/>
      <c r="E232" s="653" t="s">
        <v>799</v>
      </c>
      <c r="F232" s="654" t="s">
        <v>124</v>
      </c>
      <c r="G232" s="865" t="s">
        <v>125</v>
      </c>
      <c r="H232" s="866"/>
      <c r="I232" s="655"/>
      <c r="J232" s="656" t="s">
        <v>126</v>
      </c>
      <c r="K232" s="863" t="s">
        <v>127</v>
      </c>
      <c r="L232" s="864"/>
      <c r="M232" s="867" t="s">
        <v>128</v>
      </c>
      <c r="N232" s="868"/>
      <c r="O232" s="654"/>
      <c r="P232" s="869" t="s">
        <v>129</v>
      </c>
      <c r="Q232" s="864"/>
      <c r="R232" s="863" t="s">
        <v>130</v>
      </c>
      <c r="S232" s="870"/>
      <c r="T232" s="863" t="s">
        <v>131</v>
      </c>
      <c r="U232" s="870"/>
      <c r="V232" s="871"/>
      <c r="W232" s="863" t="s">
        <v>132</v>
      </c>
      <c r="X232" s="864"/>
      <c r="Y232" s="654" t="s">
        <v>133</v>
      </c>
    </row>
    <row r="233" spans="1:25" s="643" customFormat="1" ht="10.5" x14ac:dyDescent="0.25">
      <c r="A233" s="657"/>
      <c r="B233" s="717"/>
      <c r="C233" s="885"/>
      <c r="D233" s="885"/>
      <c r="E233" s="653" t="s">
        <v>6</v>
      </c>
      <c r="F233" s="641" t="s">
        <v>134</v>
      </c>
      <c r="G233" s="641" t="s">
        <v>135</v>
      </c>
      <c r="H233" s="641" t="s">
        <v>135</v>
      </c>
      <c r="I233" s="659" t="s">
        <v>136</v>
      </c>
      <c r="J233" s="659" t="s">
        <v>137</v>
      </c>
      <c r="K233" s="660" t="s">
        <v>138</v>
      </c>
      <c r="L233" s="641" t="s">
        <v>139</v>
      </c>
      <c r="M233" s="641" t="s">
        <v>140</v>
      </c>
      <c r="N233" s="641" t="s">
        <v>141</v>
      </c>
      <c r="O233" s="641" t="s">
        <v>142</v>
      </c>
      <c r="P233" s="660" t="s">
        <v>138</v>
      </c>
      <c r="Q233" s="660" t="s">
        <v>143</v>
      </c>
      <c r="R233" s="641" t="s">
        <v>138</v>
      </c>
      <c r="S233" s="641" t="s">
        <v>144</v>
      </c>
      <c r="T233" s="641" t="s">
        <v>145</v>
      </c>
      <c r="U233" s="650" t="s">
        <v>146</v>
      </c>
      <c r="V233" s="661" t="s">
        <v>147</v>
      </c>
      <c r="W233" s="662" t="s">
        <v>148</v>
      </c>
      <c r="X233" s="641" t="s">
        <v>149</v>
      </c>
      <c r="Y233" s="641" t="s">
        <v>150</v>
      </c>
    </row>
    <row r="234" spans="1:25" s="643" customFormat="1" ht="10.5" x14ac:dyDescent="0.25">
      <c r="A234" s="644"/>
      <c r="B234" s="645"/>
      <c r="C234" s="885"/>
      <c r="D234" s="885"/>
      <c r="E234" s="646"/>
      <c r="F234" s="650"/>
      <c r="G234" s="650" t="s">
        <v>152</v>
      </c>
      <c r="H234" s="650" t="s">
        <v>153</v>
      </c>
      <c r="I234" s="663" t="s">
        <v>154</v>
      </c>
      <c r="J234" s="663" t="s">
        <v>155</v>
      </c>
      <c r="K234" s="664" t="s">
        <v>156</v>
      </c>
      <c r="L234" s="650" t="s">
        <v>157</v>
      </c>
      <c r="M234" s="650" t="s">
        <v>158</v>
      </c>
      <c r="N234" s="650" t="s">
        <v>159</v>
      </c>
      <c r="O234" s="650" t="s">
        <v>160</v>
      </c>
      <c r="P234" s="664" t="s">
        <v>161</v>
      </c>
      <c r="Q234" s="664" t="s">
        <v>162</v>
      </c>
      <c r="R234" s="650" t="s">
        <v>163</v>
      </c>
      <c r="S234" s="650" t="s">
        <v>164</v>
      </c>
      <c r="T234" s="650" t="s">
        <v>165</v>
      </c>
      <c r="U234" s="650" t="s">
        <v>166</v>
      </c>
      <c r="V234" s="661" t="s">
        <v>167</v>
      </c>
      <c r="W234" s="662" t="s">
        <v>168</v>
      </c>
      <c r="X234" s="650" t="s">
        <v>169</v>
      </c>
      <c r="Y234" s="650" t="s">
        <v>170</v>
      </c>
    </row>
    <row r="235" spans="1:25" s="643" customFormat="1" ht="10.5" x14ac:dyDescent="0.25">
      <c r="A235" s="665"/>
      <c r="B235" s="666"/>
      <c r="C235" s="886"/>
      <c r="D235" s="886"/>
      <c r="E235" s="667"/>
      <c r="F235" s="654" t="s">
        <v>171</v>
      </c>
      <c r="G235" s="654" t="s">
        <v>172</v>
      </c>
      <c r="H235" s="654" t="s">
        <v>173</v>
      </c>
      <c r="I235" s="668" t="s">
        <v>174</v>
      </c>
      <c r="J235" s="668"/>
      <c r="K235" s="669" t="s">
        <v>175</v>
      </c>
      <c r="L235" s="654" t="s">
        <v>176</v>
      </c>
      <c r="M235" s="654"/>
      <c r="N235" s="670" t="s">
        <v>177</v>
      </c>
      <c r="O235" s="654" t="s">
        <v>178</v>
      </c>
      <c r="P235" s="669" t="s">
        <v>179</v>
      </c>
      <c r="Q235" s="669"/>
      <c r="R235" s="654" t="s">
        <v>180</v>
      </c>
      <c r="S235" s="654" t="s">
        <v>181</v>
      </c>
      <c r="T235" s="654" t="s">
        <v>182</v>
      </c>
      <c r="U235" s="670" t="s">
        <v>183</v>
      </c>
      <c r="V235" s="669" t="s">
        <v>184</v>
      </c>
      <c r="W235" s="654" t="s">
        <v>185</v>
      </c>
      <c r="X235" s="654" t="s">
        <v>186</v>
      </c>
      <c r="Y235" s="654" t="s">
        <v>187</v>
      </c>
    </row>
    <row r="236" spans="1:25" s="677" customFormat="1" x14ac:dyDescent="0.3">
      <c r="A236" s="759" t="s">
        <v>238</v>
      </c>
      <c r="B236" s="760"/>
      <c r="C236" s="761"/>
      <c r="D236" s="761"/>
      <c r="E236" s="761"/>
      <c r="F236" s="762"/>
      <c r="G236" s="762"/>
      <c r="H236" s="762"/>
      <c r="I236" s="762"/>
      <c r="J236" s="762"/>
      <c r="K236" s="762"/>
      <c r="L236" s="762"/>
      <c r="M236" s="762"/>
      <c r="N236" s="762"/>
      <c r="O236" s="762"/>
      <c r="P236" s="762"/>
      <c r="Q236" s="762"/>
      <c r="R236" s="762"/>
      <c r="S236" s="762"/>
      <c r="T236" s="762"/>
      <c r="U236" s="762"/>
      <c r="V236" s="762"/>
      <c r="W236" s="762"/>
      <c r="X236" s="762"/>
      <c r="Y236" s="762"/>
    </row>
    <row r="237" spans="1:25" s="677" customFormat="1" x14ac:dyDescent="0.3">
      <c r="A237" s="763" t="s">
        <v>239</v>
      </c>
      <c r="B237" s="764"/>
      <c r="C237" s="765"/>
      <c r="D237" s="765"/>
      <c r="E237" s="765"/>
      <c r="F237" s="766"/>
      <c r="G237" s="766"/>
      <c r="H237" s="766"/>
      <c r="I237" s="766"/>
      <c r="J237" s="766"/>
      <c r="K237" s="766"/>
      <c r="L237" s="766"/>
      <c r="M237" s="766"/>
      <c r="N237" s="766"/>
      <c r="O237" s="766"/>
      <c r="P237" s="766"/>
      <c r="Q237" s="766"/>
      <c r="R237" s="766"/>
      <c r="S237" s="766"/>
      <c r="T237" s="766"/>
      <c r="U237" s="766"/>
      <c r="V237" s="766"/>
      <c r="W237" s="766"/>
      <c r="X237" s="766"/>
      <c r="Y237" s="766"/>
    </row>
    <row r="238" spans="1:25" s="677" customFormat="1" x14ac:dyDescent="0.3">
      <c r="A238" s="757" t="s">
        <v>857</v>
      </c>
      <c r="B238" s="679">
        <v>610200</v>
      </c>
      <c r="C238" s="696">
        <v>690000</v>
      </c>
      <c r="D238" s="707">
        <f>+G238+H238+I238+J238+K238+L238+M238+N238+O238+P238+Q238+R238+S238+T238+U238+V238+W238+X238+Y238</f>
        <v>672000</v>
      </c>
      <c r="E238" s="696">
        <f t="shared" ref="E238" si="32">+C238-D238</f>
        <v>18000</v>
      </c>
      <c r="F238" s="680"/>
      <c r="G238" s="765"/>
      <c r="H238" s="765"/>
      <c r="I238" s="765"/>
      <c r="J238" s="680"/>
      <c r="K238" s="766"/>
      <c r="L238" s="708">
        <v>672000</v>
      </c>
      <c r="M238" s="680"/>
      <c r="N238" s="680"/>
      <c r="O238" s="680"/>
      <c r="P238" s="680"/>
      <c r="Q238" s="765"/>
      <c r="R238" s="765"/>
      <c r="S238" s="765"/>
      <c r="T238" s="765"/>
      <c r="U238" s="765"/>
      <c r="V238" s="766"/>
      <c r="W238" s="765"/>
      <c r="X238" s="765"/>
      <c r="Y238" s="765"/>
    </row>
    <row r="239" spans="1:25" s="677" customFormat="1" x14ac:dyDescent="0.3">
      <c r="A239" s="757" t="s">
        <v>858</v>
      </c>
      <c r="B239" s="679"/>
      <c r="C239" s="712"/>
      <c r="D239" s="707"/>
      <c r="E239" s="696"/>
      <c r="F239" s="713"/>
      <c r="G239" s="765"/>
      <c r="H239" s="765"/>
      <c r="I239" s="765"/>
      <c r="J239" s="680"/>
      <c r="K239" s="766"/>
      <c r="L239" s="680"/>
      <c r="M239" s="680"/>
      <c r="N239" s="680"/>
      <c r="O239" s="680"/>
      <c r="P239" s="680"/>
      <c r="Q239" s="765"/>
      <c r="R239" s="765"/>
      <c r="S239" s="765"/>
      <c r="T239" s="765"/>
      <c r="U239" s="765"/>
      <c r="V239" s="766"/>
      <c r="W239" s="765"/>
      <c r="X239" s="765"/>
      <c r="Y239" s="765"/>
    </row>
    <row r="240" spans="1:25" s="677" customFormat="1" x14ac:dyDescent="0.3">
      <c r="A240" s="757" t="s">
        <v>859</v>
      </c>
      <c r="B240" s="767"/>
      <c r="C240" s="768">
        <v>50000</v>
      </c>
      <c r="D240" s="707">
        <v>50000</v>
      </c>
      <c r="E240" s="696">
        <f t="shared" ref="E240:E243" si="33">+C240-D240</f>
        <v>0</v>
      </c>
      <c r="F240" s="713"/>
      <c r="G240" s="765"/>
      <c r="H240" s="765"/>
      <c r="I240" s="765"/>
      <c r="J240" s="680"/>
      <c r="K240" s="680"/>
      <c r="L240" s="680"/>
      <c r="M240" s="680"/>
      <c r="N240" s="680"/>
      <c r="O240" s="680"/>
      <c r="P240" s="680"/>
      <c r="Q240" s="765"/>
      <c r="R240" s="765"/>
      <c r="S240" s="765"/>
      <c r="T240" s="765"/>
      <c r="U240" s="765"/>
      <c r="V240" s="766"/>
      <c r="W240" s="765"/>
      <c r="X240" s="765"/>
      <c r="Y240" s="765"/>
    </row>
    <row r="241" spans="1:27" s="677" customFormat="1" x14ac:dyDescent="0.3">
      <c r="A241" s="757" t="s">
        <v>306</v>
      </c>
      <c r="B241" s="767"/>
      <c r="C241" s="765"/>
      <c r="D241" s="707"/>
      <c r="E241" s="696">
        <f t="shared" si="33"/>
        <v>0</v>
      </c>
      <c r="F241" s="680"/>
      <c r="G241" s="765"/>
      <c r="H241" s="765"/>
      <c r="I241" s="765"/>
      <c r="J241" s="680"/>
      <c r="K241" s="680"/>
      <c r="L241" s="680"/>
      <c r="M241" s="680"/>
      <c r="N241" s="680"/>
      <c r="O241" s="680"/>
      <c r="P241" s="680"/>
      <c r="Q241" s="765"/>
      <c r="R241" s="765"/>
      <c r="S241" s="765"/>
      <c r="T241" s="765"/>
      <c r="U241" s="765"/>
      <c r="V241" s="766"/>
      <c r="W241" s="765"/>
      <c r="X241" s="765"/>
      <c r="Y241" s="765"/>
      <c r="AA241" s="677">
        <v>7</v>
      </c>
    </row>
    <row r="242" spans="1:27" s="677" customFormat="1" x14ac:dyDescent="0.3">
      <c r="A242" s="757" t="s">
        <v>307</v>
      </c>
      <c r="B242" s="767"/>
      <c r="C242" s="765">
        <v>10000</v>
      </c>
      <c r="D242" s="707">
        <f>+G242+H242+I242+J242+K242+L242+M242+N242+O242+P242+Q242+R242+S242+T242+U242+V242+W242+X242+Y242</f>
        <v>0</v>
      </c>
      <c r="E242" s="696">
        <f t="shared" si="33"/>
        <v>10000</v>
      </c>
      <c r="F242" s="680"/>
      <c r="G242" s="765"/>
      <c r="H242" s="765"/>
      <c r="I242" s="765"/>
      <c r="J242" s="680"/>
      <c r="K242" s="680"/>
      <c r="L242" s="680"/>
      <c r="M242" s="680"/>
      <c r="N242" s="680"/>
      <c r="O242" s="680"/>
      <c r="P242" s="680"/>
      <c r="Q242" s="765"/>
      <c r="R242" s="765"/>
      <c r="S242" s="765"/>
      <c r="T242" s="765"/>
      <c r="U242" s="765"/>
      <c r="V242" s="766">
        <v>0</v>
      </c>
      <c r="W242" s="765"/>
      <c r="X242" s="765"/>
      <c r="Y242" s="765"/>
    </row>
    <row r="243" spans="1:27" s="677" customFormat="1" x14ac:dyDescent="0.3">
      <c r="A243" s="757" t="s">
        <v>308</v>
      </c>
      <c r="B243" s="767"/>
      <c r="C243" s="765">
        <v>10000</v>
      </c>
      <c r="D243" s="707">
        <f>+G243+H243+I243+J243+K243+L243+M243+N243+O243+P243+Q243+R243+S243+T243+U243+V243+W243+X243+Y243</f>
        <v>0</v>
      </c>
      <c r="E243" s="696">
        <f t="shared" si="33"/>
        <v>10000</v>
      </c>
      <c r="F243" s="680"/>
      <c r="G243" s="765"/>
      <c r="H243" s="765"/>
      <c r="I243" s="765"/>
      <c r="J243" s="680"/>
      <c r="K243" s="680"/>
      <c r="L243" s="680"/>
      <c r="M243" s="680"/>
      <c r="N243" s="680"/>
      <c r="O243" s="680"/>
      <c r="P243" s="680"/>
      <c r="Q243" s="765"/>
      <c r="R243" s="765"/>
      <c r="S243" s="765"/>
      <c r="T243" s="765"/>
      <c r="U243" s="765"/>
      <c r="V243" s="766">
        <v>0</v>
      </c>
      <c r="W243" s="765"/>
      <c r="X243" s="765"/>
      <c r="Y243" s="765"/>
    </row>
    <row r="244" spans="1:27" s="677" customFormat="1" x14ac:dyDescent="0.3">
      <c r="A244" s="763" t="s">
        <v>245</v>
      </c>
      <c r="B244" s="767"/>
      <c r="C244" s="765"/>
      <c r="D244" s="765"/>
      <c r="E244" s="765"/>
      <c r="F244" s="680"/>
      <c r="G244" s="765"/>
      <c r="H244" s="765"/>
      <c r="I244" s="765"/>
      <c r="J244" s="680"/>
      <c r="K244" s="680"/>
      <c r="L244" s="680"/>
      <c r="M244" s="680"/>
      <c r="N244" s="680"/>
      <c r="O244" s="680"/>
      <c r="P244" s="680"/>
      <c r="Q244" s="765"/>
      <c r="R244" s="765"/>
      <c r="S244" s="765"/>
      <c r="T244" s="765"/>
      <c r="U244" s="765"/>
      <c r="V244" s="765"/>
      <c r="W244" s="765"/>
      <c r="X244" s="765"/>
      <c r="Y244" s="765"/>
    </row>
    <row r="245" spans="1:27" s="677" customFormat="1" x14ac:dyDescent="0.3">
      <c r="A245" s="757" t="s">
        <v>309</v>
      </c>
      <c r="B245" s="767"/>
      <c r="C245" s="765"/>
      <c r="D245" s="707"/>
      <c r="E245" s="696">
        <f t="shared" ref="E245" si="34">+C245-D245</f>
        <v>0</v>
      </c>
      <c r="F245" s="680"/>
      <c r="G245" s="765"/>
      <c r="H245" s="765"/>
      <c r="I245" s="765"/>
      <c r="J245" s="766"/>
      <c r="K245" s="680"/>
      <c r="L245" s="680"/>
      <c r="M245" s="680"/>
      <c r="N245" s="680"/>
      <c r="O245" s="680"/>
      <c r="P245" s="680"/>
      <c r="Q245" s="765"/>
      <c r="R245" s="765"/>
      <c r="S245" s="765"/>
      <c r="T245" s="765"/>
      <c r="U245" s="765"/>
      <c r="V245" s="680"/>
      <c r="W245" s="765"/>
      <c r="X245" s="765"/>
      <c r="Y245" s="765"/>
    </row>
    <row r="246" spans="1:27" s="677" customFormat="1" x14ac:dyDescent="0.3">
      <c r="A246" s="763" t="s">
        <v>247</v>
      </c>
      <c r="B246" s="767"/>
      <c r="C246" s="765"/>
      <c r="D246" s="765"/>
      <c r="E246" s="696"/>
      <c r="F246" s="680"/>
      <c r="G246" s="766"/>
      <c r="H246" s="766"/>
      <c r="I246" s="766"/>
      <c r="J246" s="766"/>
      <c r="K246" s="766"/>
      <c r="L246" s="766"/>
      <c r="M246" s="766"/>
      <c r="N246" s="766"/>
      <c r="O246" s="766"/>
      <c r="P246" s="766"/>
      <c r="Q246" s="766"/>
      <c r="R246" s="766"/>
      <c r="S246" s="766"/>
      <c r="T246" s="766"/>
      <c r="U246" s="766"/>
      <c r="V246" s="766"/>
      <c r="W246" s="766"/>
      <c r="X246" s="766"/>
      <c r="Y246" s="766"/>
    </row>
    <row r="247" spans="1:27" s="677" customFormat="1" x14ac:dyDescent="0.3">
      <c r="A247" s="758" t="s">
        <v>860</v>
      </c>
      <c r="B247" s="769">
        <v>610400</v>
      </c>
      <c r="C247" s="770">
        <v>105000</v>
      </c>
      <c r="D247" s="707">
        <f>+G247+H247+I247+J247+K247+L247+M247+N247+O247+P247+Q247+R247+S247+T247+U247+V247+W247+X247+Y247</f>
        <v>52500</v>
      </c>
      <c r="E247" s="696">
        <f t="shared" ref="E247" si="35">+C247-D247</f>
        <v>52500</v>
      </c>
      <c r="F247" s="728"/>
      <c r="G247" s="761"/>
      <c r="H247" s="761"/>
      <c r="I247" s="761"/>
      <c r="J247" s="680"/>
      <c r="K247" s="680"/>
      <c r="L247" s="680"/>
      <c r="M247" s="680"/>
      <c r="N247" s="680"/>
      <c r="O247" s="680"/>
      <c r="P247" s="715"/>
      <c r="Q247" s="771">
        <v>52500</v>
      </c>
      <c r="R247" s="761"/>
      <c r="S247" s="761"/>
      <c r="T247" s="761"/>
      <c r="U247" s="761"/>
      <c r="V247" s="762"/>
      <c r="W247" s="761"/>
      <c r="X247" s="761"/>
      <c r="Y247" s="761"/>
    </row>
    <row r="248" spans="1:27" s="677" customFormat="1" x14ac:dyDescent="0.3">
      <c r="A248" s="684" t="s">
        <v>189</v>
      </c>
      <c r="B248" s="685"/>
      <c r="C248" s="687">
        <f>SUM(C238:C247)</f>
        <v>865000</v>
      </c>
      <c r="D248" s="687">
        <f t="shared" ref="D248:Y248" si="36">SUM(D238:D247)</f>
        <v>774500</v>
      </c>
      <c r="E248" s="687">
        <f t="shared" si="36"/>
        <v>90500</v>
      </c>
      <c r="F248" s="687">
        <f t="shared" si="36"/>
        <v>0</v>
      </c>
      <c r="G248" s="687">
        <f t="shared" si="36"/>
        <v>0</v>
      </c>
      <c r="H248" s="687">
        <f t="shared" si="36"/>
        <v>0</v>
      </c>
      <c r="I248" s="687">
        <f t="shared" si="36"/>
        <v>0</v>
      </c>
      <c r="J248" s="687">
        <f t="shared" si="36"/>
        <v>0</v>
      </c>
      <c r="K248" s="687">
        <f t="shared" si="36"/>
        <v>0</v>
      </c>
      <c r="L248" s="687">
        <f t="shared" si="36"/>
        <v>672000</v>
      </c>
      <c r="M248" s="687">
        <f t="shared" si="36"/>
        <v>0</v>
      </c>
      <c r="N248" s="687">
        <f t="shared" si="36"/>
        <v>0</v>
      </c>
      <c r="O248" s="687">
        <f t="shared" si="36"/>
        <v>0</v>
      </c>
      <c r="P248" s="687">
        <f t="shared" si="36"/>
        <v>0</v>
      </c>
      <c r="Q248" s="772">
        <f t="shared" si="36"/>
        <v>52500</v>
      </c>
      <c r="R248" s="687">
        <f t="shared" si="36"/>
        <v>0</v>
      </c>
      <c r="S248" s="687">
        <f t="shared" si="36"/>
        <v>0</v>
      </c>
      <c r="T248" s="687">
        <f t="shared" si="36"/>
        <v>0</v>
      </c>
      <c r="U248" s="687">
        <f t="shared" si="36"/>
        <v>0</v>
      </c>
      <c r="V248" s="687">
        <f t="shared" si="36"/>
        <v>0</v>
      </c>
      <c r="W248" s="687">
        <f t="shared" si="36"/>
        <v>0</v>
      </c>
      <c r="X248" s="687">
        <f t="shared" si="36"/>
        <v>0</v>
      </c>
      <c r="Y248" s="687">
        <f t="shared" si="36"/>
        <v>0</v>
      </c>
    </row>
    <row r="266" spans="1:25" ht="23.25" x14ac:dyDescent="0.5">
      <c r="A266" s="883" t="s">
        <v>76</v>
      </c>
      <c r="B266" s="883"/>
      <c r="C266" s="883"/>
      <c r="D266" s="883"/>
      <c r="E266" s="883"/>
      <c r="F266" s="883"/>
      <c r="G266" s="883"/>
      <c r="H266" s="883"/>
      <c r="I266" s="883"/>
      <c r="J266" s="883"/>
      <c r="K266" s="883"/>
      <c r="L266" s="883"/>
      <c r="M266" s="883"/>
      <c r="N266" s="883"/>
      <c r="O266" s="883"/>
      <c r="P266" s="883"/>
      <c r="Q266" s="883"/>
      <c r="R266" s="883"/>
      <c r="S266" s="883"/>
      <c r="T266" s="883"/>
      <c r="U266" s="883"/>
      <c r="V266" s="883"/>
      <c r="W266" s="883"/>
      <c r="X266" s="883"/>
      <c r="Y266" s="883"/>
    </row>
    <row r="267" spans="1:25" ht="23.25" x14ac:dyDescent="0.5">
      <c r="A267" s="883" t="s">
        <v>792</v>
      </c>
      <c r="B267" s="883"/>
      <c r="C267" s="883"/>
      <c r="D267" s="883"/>
      <c r="E267" s="883"/>
      <c r="F267" s="883"/>
      <c r="G267" s="883"/>
      <c r="H267" s="883"/>
      <c r="I267" s="883"/>
      <c r="J267" s="883"/>
      <c r="K267" s="883"/>
      <c r="L267" s="883"/>
      <c r="M267" s="883"/>
      <c r="N267" s="883"/>
      <c r="O267" s="883"/>
      <c r="P267" s="883"/>
      <c r="Q267" s="883"/>
      <c r="R267" s="883"/>
      <c r="S267" s="883"/>
      <c r="T267" s="883"/>
      <c r="U267" s="883"/>
      <c r="V267" s="883"/>
      <c r="W267" s="883"/>
      <c r="X267" s="883"/>
      <c r="Y267" s="883"/>
    </row>
    <row r="268" spans="1:25" ht="23.25" x14ac:dyDescent="0.5">
      <c r="A268" s="883" t="s">
        <v>793</v>
      </c>
      <c r="B268" s="883"/>
      <c r="C268" s="883"/>
      <c r="D268" s="883"/>
      <c r="E268" s="883"/>
      <c r="F268" s="883"/>
      <c r="G268" s="883"/>
      <c r="H268" s="883"/>
      <c r="I268" s="883"/>
      <c r="J268" s="883"/>
      <c r="K268" s="883"/>
      <c r="L268" s="883"/>
      <c r="M268" s="883"/>
      <c r="N268" s="883"/>
      <c r="O268" s="883"/>
      <c r="P268" s="883"/>
      <c r="Q268" s="883"/>
      <c r="R268" s="883"/>
      <c r="S268" s="883"/>
      <c r="T268" s="883"/>
      <c r="U268" s="883"/>
      <c r="V268" s="883"/>
      <c r="W268" s="883"/>
      <c r="X268" s="883"/>
      <c r="Y268" s="883"/>
    </row>
    <row r="269" spans="1:25" s="643" customFormat="1" ht="10.5" x14ac:dyDescent="0.25">
      <c r="A269" s="638"/>
      <c r="B269" s="639"/>
      <c r="C269" s="884" t="s">
        <v>6</v>
      </c>
      <c r="D269" s="884" t="s">
        <v>794</v>
      </c>
      <c r="E269" s="640"/>
      <c r="F269" s="641" t="s">
        <v>41</v>
      </c>
      <c r="G269" s="875" t="s">
        <v>110</v>
      </c>
      <c r="H269" s="876"/>
      <c r="I269" s="872" t="s">
        <v>111</v>
      </c>
      <c r="J269" s="887"/>
      <c r="K269" s="874" t="s">
        <v>112</v>
      </c>
      <c r="L269" s="873"/>
      <c r="M269" s="888" t="s">
        <v>113</v>
      </c>
      <c r="N269" s="889"/>
      <c r="O269" s="642" t="s">
        <v>113</v>
      </c>
      <c r="P269" s="872" t="s">
        <v>113</v>
      </c>
      <c r="Q269" s="873"/>
      <c r="R269" s="874" t="s">
        <v>114</v>
      </c>
      <c r="S269" s="875"/>
      <c r="T269" s="874" t="s">
        <v>115</v>
      </c>
      <c r="U269" s="875"/>
      <c r="V269" s="876"/>
      <c r="W269" s="874" t="s">
        <v>116</v>
      </c>
      <c r="X269" s="873"/>
      <c r="Y269" s="642" t="s">
        <v>113</v>
      </c>
    </row>
    <row r="270" spans="1:25" s="643" customFormat="1" ht="10.5" x14ac:dyDescent="0.25">
      <c r="A270" s="644"/>
      <c r="B270" s="645"/>
      <c r="C270" s="885"/>
      <c r="D270" s="885"/>
      <c r="E270" s="646"/>
      <c r="F270" s="647"/>
      <c r="G270" s="865"/>
      <c r="H270" s="866"/>
      <c r="I270" s="877" t="s">
        <v>117</v>
      </c>
      <c r="J270" s="878"/>
      <c r="K270" s="648"/>
      <c r="L270" s="649"/>
      <c r="M270" s="879" t="s">
        <v>118</v>
      </c>
      <c r="N270" s="880"/>
      <c r="O270" s="650" t="s">
        <v>119</v>
      </c>
      <c r="P270" s="877" t="s">
        <v>120</v>
      </c>
      <c r="Q270" s="881"/>
      <c r="R270" s="644"/>
      <c r="S270" s="651"/>
      <c r="T270" s="879" t="s">
        <v>121</v>
      </c>
      <c r="U270" s="882"/>
      <c r="V270" s="880"/>
      <c r="W270" s="644" t="s">
        <v>13</v>
      </c>
      <c r="X270" s="649"/>
      <c r="Y270" s="652" t="s">
        <v>122</v>
      </c>
    </row>
    <row r="271" spans="1:25" s="643" customFormat="1" ht="10.5" x14ac:dyDescent="0.25">
      <c r="A271" s="644" t="s">
        <v>123</v>
      </c>
      <c r="B271" s="645"/>
      <c r="C271" s="885"/>
      <c r="D271" s="885"/>
      <c r="E271" s="653" t="s">
        <v>799</v>
      </c>
      <c r="F271" s="654" t="s">
        <v>124</v>
      </c>
      <c r="G271" s="865" t="s">
        <v>125</v>
      </c>
      <c r="H271" s="866"/>
      <c r="I271" s="655"/>
      <c r="J271" s="656" t="s">
        <v>126</v>
      </c>
      <c r="K271" s="863" t="s">
        <v>127</v>
      </c>
      <c r="L271" s="864"/>
      <c r="M271" s="867" t="s">
        <v>128</v>
      </c>
      <c r="N271" s="868"/>
      <c r="O271" s="654"/>
      <c r="P271" s="869" t="s">
        <v>129</v>
      </c>
      <c r="Q271" s="864"/>
      <c r="R271" s="863" t="s">
        <v>130</v>
      </c>
      <c r="S271" s="870"/>
      <c r="T271" s="863" t="s">
        <v>131</v>
      </c>
      <c r="U271" s="870"/>
      <c r="V271" s="871"/>
      <c r="W271" s="863" t="s">
        <v>132</v>
      </c>
      <c r="X271" s="864"/>
      <c r="Y271" s="654" t="s">
        <v>133</v>
      </c>
    </row>
    <row r="272" spans="1:25" s="643" customFormat="1" ht="10.5" x14ac:dyDescent="0.25">
      <c r="A272" s="657"/>
      <c r="B272" s="717"/>
      <c r="C272" s="885"/>
      <c r="D272" s="885"/>
      <c r="E272" s="653" t="s">
        <v>6</v>
      </c>
      <c r="F272" s="641" t="s">
        <v>134</v>
      </c>
      <c r="G272" s="641" t="s">
        <v>135</v>
      </c>
      <c r="H272" s="641" t="s">
        <v>135</v>
      </c>
      <c r="I272" s="659" t="s">
        <v>136</v>
      </c>
      <c r="J272" s="659" t="s">
        <v>137</v>
      </c>
      <c r="K272" s="660" t="s">
        <v>138</v>
      </c>
      <c r="L272" s="641" t="s">
        <v>139</v>
      </c>
      <c r="M272" s="641" t="s">
        <v>140</v>
      </c>
      <c r="N272" s="641" t="s">
        <v>141</v>
      </c>
      <c r="O272" s="641" t="s">
        <v>142</v>
      </c>
      <c r="P272" s="660" t="s">
        <v>138</v>
      </c>
      <c r="Q272" s="660" t="s">
        <v>143</v>
      </c>
      <c r="R272" s="641" t="s">
        <v>138</v>
      </c>
      <c r="S272" s="641" t="s">
        <v>144</v>
      </c>
      <c r="T272" s="641" t="s">
        <v>145</v>
      </c>
      <c r="U272" s="650" t="s">
        <v>146</v>
      </c>
      <c r="V272" s="661" t="s">
        <v>147</v>
      </c>
      <c r="W272" s="662" t="s">
        <v>148</v>
      </c>
      <c r="X272" s="641" t="s">
        <v>149</v>
      </c>
      <c r="Y272" s="641" t="s">
        <v>150</v>
      </c>
    </row>
    <row r="273" spans="1:27" s="643" customFormat="1" ht="10.5" x14ac:dyDescent="0.25">
      <c r="A273" s="644"/>
      <c r="B273" s="645"/>
      <c r="C273" s="885"/>
      <c r="D273" s="885"/>
      <c r="E273" s="646"/>
      <c r="F273" s="650"/>
      <c r="G273" s="650" t="s">
        <v>152</v>
      </c>
      <c r="H273" s="650" t="s">
        <v>153</v>
      </c>
      <c r="I273" s="663" t="s">
        <v>154</v>
      </c>
      <c r="J273" s="663" t="s">
        <v>155</v>
      </c>
      <c r="K273" s="664" t="s">
        <v>156</v>
      </c>
      <c r="L273" s="650" t="s">
        <v>157</v>
      </c>
      <c r="M273" s="650" t="s">
        <v>158</v>
      </c>
      <c r="N273" s="650" t="s">
        <v>159</v>
      </c>
      <c r="O273" s="650" t="s">
        <v>160</v>
      </c>
      <c r="P273" s="664" t="s">
        <v>161</v>
      </c>
      <c r="Q273" s="664" t="s">
        <v>162</v>
      </c>
      <c r="R273" s="650" t="s">
        <v>163</v>
      </c>
      <c r="S273" s="650" t="s">
        <v>164</v>
      </c>
      <c r="T273" s="650" t="s">
        <v>165</v>
      </c>
      <c r="U273" s="650" t="s">
        <v>166</v>
      </c>
      <c r="V273" s="661" t="s">
        <v>167</v>
      </c>
      <c r="W273" s="662" t="s">
        <v>168</v>
      </c>
      <c r="X273" s="650" t="s">
        <v>169</v>
      </c>
      <c r="Y273" s="650" t="s">
        <v>170</v>
      </c>
    </row>
    <row r="274" spans="1:27" s="643" customFormat="1" ht="10.5" x14ac:dyDescent="0.25">
      <c r="A274" s="665"/>
      <c r="B274" s="666"/>
      <c r="C274" s="886"/>
      <c r="D274" s="886"/>
      <c r="E274" s="667"/>
      <c r="F274" s="654" t="s">
        <v>171</v>
      </c>
      <c r="G274" s="654" t="s">
        <v>172</v>
      </c>
      <c r="H274" s="654" t="s">
        <v>173</v>
      </c>
      <c r="I274" s="668" t="s">
        <v>174</v>
      </c>
      <c r="J274" s="668"/>
      <c r="K274" s="669" t="s">
        <v>175</v>
      </c>
      <c r="L274" s="654" t="s">
        <v>176</v>
      </c>
      <c r="M274" s="654"/>
      <c r="N274" s="670" t="s">
        <v>177</v>
      </c>
      <c r="O274" s="654" t="s">
        <v>178</v>
      </c>
      <c r="P274" s="669" t="s">
        <v>179</v>
      </c>
      <c r="Q274" s="669"/>
      <c r="R274" s="654" t="s">
        <v>180</v>
      </c>
      <c r="S274" s="654" t="s">
        <v>181</v>
      </c>
      <c r="T274" s="654" t="s">
        <v>182</v>
      </c>
      <c r="U274" s="670" t="s">
        <v>183</v>
      </c>
      <c r="V274" s="669" t="s">
        <v>184</v>
      </c>
      <c r="W274" s="654" t="s">
        <v>185</v>
      </c>
      <c r="X274" s="654" t="s">
        <v>186</v>
      </c>
      <c r="Y274" s="654" t="s">
        <v>187</v>
      </c>
    </row>
    <row r="275" spans="1:27" s="677" customFormat="1" x14ac:dyDescent="0.3">
      <c r="A275" s="759" t="s">
        <v>861</v>
      </c>
      <c r="B275" s="760"/>
      <c r="C275" s="773"/>
      <c r="D275" s="773"/>
      <c r="E275" s="774"/>
      <c r="F275" s="743"/>
      <c r="G275" s="743"/>
      <c r="H275" s="743"/>
      <c r="I275" s="775"/>
      <c r="J275" s="775"/>
      <c r="K275" s="751"/>
      <c r="L275" s="743"/>
      <c r="M275" s="743"/>
      <c r="N275" s="750"/>
      <c r="O275" s="743"/>
      <c r="P275" s="751"/>
      <c r="Q275" s="751"/>
      <c r="R275" s="743"/>
      <c r="S275" s="743"/>
      <c r="T275" s="743"/>
      <c r="U275" s="750"/>
      <c r="V275" s="751"/>
      <c r="W275" s="743"/>
      <c r="X275" s="743"/>
      <c r="Y275" s="743"/>
    </row>
    <row r="276" spans="1:27" s="677" customFormat="1" x14ac:dyDescent="0.3">
      <c r="A276" s="776" t="s">
        <v>249</v>
      </c>
      <c r="B276" s="672"/>
      <c r="C276" s="700"/>
      <c r="D276" s="700"/>
      <c r="E276" s="700"/>
      <c r="F276" s="695"/>
      <c r="G276" s="695"/>
      <c r="H276" s="695"/>
      <c r="I276" s="695"/>
      <c r="J276" s="695"/>
      <c r="K276" s="695"/>
      <c r="L276" s="695"/>
      <c r="M276" s="695"/>
      <c r="N276" s="695"/>
      <c r="O276" s="695"/>
      <c r="P276" s="695"/>
      <c r="Q276" s="695"/>
      <c r="R276" s="695"/>
      <c r="S276" s="695"/>
      <c r="T276" s="695"/>
      <c r="U276" s="695"/>
      <c r="V276" s="695"/>
      <c r="W276" s="695"/>
      <c r="X276" s="695"/>
      <c r="Y276" s="695"/>
    </row>
    <row r="277" spans="1:27" s="677" customFormat="1" x14ac:dyDescent="0.3">
      <c r="A277" s="777" t="s">
        <v>862</v>
      </c>
      <c r="B277" s="672"/>
      <c r="C277" s="700"/>
      <c r="D277" s="700"/>
      <c r="E277" s="700"/>
      <c r="F277" s="695"/>
      <c r="G277" s="695"/>
      <c r="H277" s="695"/>
      <c r="I277" s="695"/>
      <c r="J277" s="695"/>
      <c r="K277" s="695"/>
      <c r="L277" s="695"/>
      <c r="M277" s="695"/>
      <c r="N277" s="695"/>
      <c r="O277" s="695"/>
      <c r="P277" s="695"/>
      <c r="Q277" s="695"/>
      <c r="R277" s="695"/>
      <c r="S277" s="695"/>
      <c r="T277" s="695"/>
      <c r="U277" s="695"/>
      <c r="V277" s="695"/>
      <c r="W277" s="695"/>
      <c r="X277" s="695"/>
      <c r="Y277" s="695"/>
    </row>
    <row r="278" spans="1:27" s="677" customFormat="1" x14ac:dyDescent="0.3">
      <c r="A278" s="778" t="s">
        <v>863</v>
      </c>
      <c r="B278" s="672"/>
      <c r="C278" s="700">
        <f>88000+44000</f>
        <v>132000</v>
      </c>
      <c r="D278" s="707">
        <f>+G278+H278+I278+J278+K278+L278+M278+N278+O278+P278+Q278+R278+S278+T278+U278+V278+W278+X278+Y278</f>
        <v>129000</v>
      </c>
      <c r="E278" s="696">
        <f t="shared" ref="E278:E281" si="37">+C278-D278</f>
        <v>3000</v>
      </c>
      <c r="F278" s="695"/>
      <c r="G278" s="695">
        <v>86000</v>
      </c>
      <c r="H278" s="695">
        <v>43000</v>
      </c>
      <c r="I278" s="695"/>
      <c r="J278" s="695"/>
      <c r="K278" s="695"/>
      <c r="L278" s="695"/>
      <c r="M278" s="695"/>
      <c r="N278" s="695"/>
      <c r="O278" s="695"/>
      <c r="P278" s="695"/>
      <c r="Q278" s="695"/>
      <c r="R278" s="695"/>
      <c r="S278" s="695"/>
      <c r="T278" s="695"/>
      <c r="U278" s="695"/>
      <c r="V278" s="695"/>
      <c r="W278" s="695"/>
      <c r="X278" s="695"/>
      <c r="Y278" s="695"/>
    </row>
    <row r="279" spans="1:27" s="677" customFormat="1" x14ac:dyDescent="0.3">
      <c r="A279" s="778" t="s">
        <v>864</v>
      </c>
      <c r="B279" s="672"/>
      <c r="C279" s="700">
        <v>9600</v>
      </c>
      <c r="D279" s="707">
        <f t="shared" ref="D279:D287" si="38">+G279+H279+I279+J279+K279+L279+M279+N279+O279+P279+Q279+R279+S279+T279+U279+V279+W279+X279+Y279</f>
        <v>9600</v>
      </c>
      <c r="E279" s="696">
        <f t="shared" si="37"/>
        <v>0</v>
      </c>
      <c r="F279" s="695"/>
      <c r="G279" s="695">
        <v>0</v>
      </c>
      <c r="H279" s="695"/>
      <c r="I279" s="695"/>
      <c r="J279" s="695"/>
      <c r="K279" s="695"/>
      <c r="L279" s="695"/>
      <c r="M279" s="695"/>
      <c r="N279" s="695"/>
      <c r="O279" s="695"/>
      <c r="P279" s="695"/>
      <c r="Q279" s="695"/>
      <c r="R279" s="695">
        <v>9600</v>
      </c>
      <c r="S279" s="695"/>
      <c r="T279" s="695"/>
      <c r="U279" s="695"/>
      <c r="V279" s="695"/>
      <c r="W279" s="695"/>
      <c r="X279" s="695"/>
      <c r="Y279" s="695"/>
    </row>
    <row r="280" spans="1:27" s="677" customFormat="1" x14ac:dyDescent="0.3">
      <c r="A280" s="779" t="s">
        <v>865</v>
      </c>
      <c r="B280" s="672"/>
      <c r="C280" s="700">
        <v>30000</v>
      </c>
      <c r="D280" s="707">
        <f t="shared" si="38"/>
        <v>30000</v>
      </c>
      <c r="E280" s="696">
        <f t="shared" si="37"/>
        <v>0</v>
      </c>
      <c r="F280" s="695"/>
      <c r="G280" s="695">
        <v>30000</v>
      </c>
      <c r="H280" s="695"/>
      <c r="I280" s="695"/>
      <c r="J280" s="695"/>
      <c r="K280" s="695"/>
      <c r="L280" s="695"/>
      <c r="M280" s="695"/>
      <c r="N280" s="695"/>
      <c r="O280" s="695"/>
      <c r="P280" s="695"/>
      <c r="Q280" s="695"/>
      <c r="R280" s="695"/>
      <c r="S280" s="695"/>
      <c r="T280" s="695"/>
      <c r="U280" s="695"/>
      <c r="V280" s="695"/>
      <c r="W280" s="695"/>
      <c r="X280" s="695"/>
      <c r="Y280" s="695"/>
    </row>
    <row r="281" spans="1:27" s="677" customFormat="1" x14ac:dyDescent="0.3">
      <c r="A281" s="779" t="s">
        <v>866</v>
      </c>
      <c r="B281" s="672"/>
      <c r="C281" s="700">
        <f>48000+52000+50000</f>
        <v>150000</v>
      </c>
      <c r="D281" s="707">
        <f t="shared" si="38"/>
        <v>150000</v>
      </c>
      <c r="E281" s="696">
        <f t="shared" si="37"/>
        <v>0</v>
      </c>
      <c r="F281" s="695"/>
      <c r="G281" s="695">
        <v>150000</v>
      </c>
      <c r="H281" s="695"/>
      <c r="I281" s="695"/>
      <c r="J281" s="695"/>
      <c r="K281" s="695"/>
      <c r="L281" s="695"/>
      <c r="M281" s="695"/>
      <c r="N281" s="695"/>
      <c r="O281" s="695"/>
      <c r="P281" s="695"/>
      <c r="Q281" s="695"/>
      <c r="R281" s="695"/>
      <c r="S281" s="695"/>
      <c r="T281" s="695"/>
      <c r="U281" s="695"/>
      <c r="V281" s="695"/>
      <c r="W281" s="695"/>
      <c r="X281" s="695"/>
      <c r="Y281" s="695"/>
    </row>
    <row r="282" spans="1:27" s="677" customFormat="1" x14ac:dyDescent="0.3">
      <c r="A282" s="777" t="s">
        <v>867</v>
      </c>
      <c r="B282" s="672"/>
      <c r="C282" s="700"/>
      <c r="D282" s="700"/>
      <c r="E282" s="700"/>
      <c r="F282" s="695"/>
      <c r="G282" s="695"/>
      <c r="H282" s="695"/>
      <c r="I282" s="695"/>
      <c r="J282" s="695"/>
      <c r="K282" s="695"/>
      <c r="L282" s="695"/>
      <c r="M282" s="695"/>
      <c r="N282" s="695"/>
      <c r="O282" s="695"/>
      <c r="P282" s="695"/>
      <c r="Q282" s="695"/>
      <c r="R282" s="695"/>
      <c r="S282" s="695"/>
      <c r="T282" s="695"/>
      <c r="U282" s="695"/>
      <c r="V282" s="695"/>
      <c r="W282" s="695"/>
      <c r="X282" s="695"/>
      <c r="Y282" s="695"/>
    </row>
    <row r="283" spans="1:27" s="677" customFormat="1" x14ac:dyDescent="0.3">
      <c r="A283" s="778" t="s">
        <v>868</v>
      </c>
      <c r="B283" s="672"/>
      <c r="C283" s="700">
        <v>23000</v>
      </c>
      <c r="D283" s="707">
        <f t="shared" si="38"/>
        <v>22000</v>
      </c>
      <c r="E283" s="696">
        <f t="shared" ref="E283" si="39">+C283-D283</f>
        <v>1000</v>
      </c>
      <c r="F283" s="695"/>
      <c r="G283" s="695">
        <v>0</v>
      </c>
      <c r="H283" s="695">
        <v>22000</v>
      </c>
      <c r="I283" s="695"/>
      <c r="J283" s="695"/>
      <c r="K283" s="695"/>
      <c r="L283" s="695"/>
      <c r="M283" s="695"/>
      <c r="N283" s="695"/>
      <c r="O283" s="695"/>
      <c r="P283" s="695"/>
      <c r="Q283" s="695"/>
      <c r="R283" s="695"/>
      <c r="S283" s="695"/>
      <c r="T283" s="695"/>
      <c r="U283" s="695"/>
      <c r="V283" s="695"/>
      <c r="W283" s="695"/>
      <c r="X283" s="695"/>
      <c r="Y283" s="695"/>
    </row>
    <row r="284" spans="1:27" s="677" customFormat="1" x14ac:dyDescent="0.3">
      <c r="A284" s="778" t="s">
        <v>869</v>
      </c>
      <c r="B284" s="672"/>
      <c r="C284" s="700"/>
      <c r="D284" s="700"/>
      <c r="E284" s="700"/>
      <c r="F284" s="695"/>
      <c r="G284" s="695"/>
      <c r="H284" s="695"/>
      <c r="I284" s="695"/>
      <c r="J284" s="695"/>
      <c r="K284" s="695"/>
      <c r="L284" s="695"/>
      <c r="M284" s="695"/>
      <c r="N284" s="695"/>
      <c r="O284" s="695"/>
      <c r="P284" s="695"/>
      <c r="Q284" s="695"/>
      <c r="R284" s="695"/>
      <c r="S284" s="695"/>
      <c r="T284" s="695"/>
      <c r="U284" s="695"/>
      <c r="V284" s="695"/>
      <c r="W284" s="695"/>
      <c r="X284" s="695"/>
      <c r="Y284" s="695"/>
    </row>
    <row r="285" spans="1:27" s="677" customFormat="1" x14ac:dyDescent="0.3">
      <c r="A285" s="778" t="s">
        <v>870</v>
      </c>
      <c r="B285" s="672"/>
      <c r="C285" s="700">
        <v>3100</v>
      </c>
      <c r="D285" s="707">
        <f t="shared" si="38"/>
        <v>3000</v>
      </c>
      <c r="E285" s="696">
        <f t="shared" ref="E285" si="40">+C285-D285</f>
        <v>100</v>
      </c>
      <c r="F285" s="695"/>
      <c r="G285" s="695">
        <v>0</v>
      </c>
      <c r="H285" s="695">
        <v>3000</v>
      </c>
      <c r="I285" s="695"/>
      <c r="J285" s="695"/>
      <c r="K285" s="695"/>
      <c r="L285" s="695"/>
      <c r="M285" s="695"/>
      <c r="N285" s="695"/>
      <c r="O285" s="695"/>
      <c r="P285" s="695"/>
      <c r="Q285" s="695"/>
      <c r="R285" s="695"/>
      <c r="S285" s="695"/>
      <c r="T285" s="695"/>
      <c r="U285" s="695"/>
      <c r="V285" s="695"/>
      <c r="W285" s="695"/>
      <c r="X285" s="695"/>
      <c r="Y285" s="695"/>
      <c r="AA285" s="677">
        <v>8</v>
      </c>
    </row>
    <row r="286" spans="1:27" s="677" customFormat="1" x14ac:dyDescent="0.3">
      <c r="A286" s="763" t="s">
        <v>871</v>
      </c>
      <c r="B286" s="704"/>
      <c r="C286" s="696"/>
      <c r="D286" s="707"/>
      <c r="E286" s="696"/>
      <c r="F286" s="680"/>
      <c r="G286" s="680"/>
      <c r="H286" s="680"/>
      <c r="I286" s="680"/>
      <c r="J286" s="680"/>
      <c r="K286" s="680"/>
      <c r="L286" s="680"/>
      <c r="M286" s="680"/>
      <c r="N286" s="680"/>
      <c r="O286" s="680"/>
      <c r="P286" s="680"/>
      <c r="Q286" s="680"/>
      <c r="R286" s="680"/>
      <c r="S286" s="680"/>
      <c r="T286" s="680"/>
      <c r="U286" s="680"/>
      <c r="V286" s="680"/>
      <c r="W286" s="680"/>
      <c r="X286" s="680"/>
      <c r="Y286" s="680"/>
    </row>
    <row r="287" spans="1:27" s="677" customFormat="1" x14ac:dyDescent="0.3">
      <c r="A287" s="757" t="s">
        <v>872</v>
      </c>
      <c r="B287" s="704"/>
      <c r="C287" s="696">
        <v>100000</v>
      </c>
      <c r="D287" s="707">
        <f t="shared" si="38"/>
        <v>94683.23</v>
      </c>
      <c r="E287" s="696">
        <f t="shared" ref="E287" si="41">+C287-D287</f>
        <v>5316.7700000000041</v>
      </c>
      <c r="F287" s="680"/>
      <c r="G287" s="680"/>
      <c r="H287" s="680"/>
      <c r="I287" s="680"/>
      <c r="J287" s="680">
        <v>94683.23</v>
      </c>
      <c r="K287" s="680"/>
      <c r="L287" s="680"/>
      <c r="M287" s="680"/>
      <c r="N287" s="680"/>
      <c r="O287" s="680"/>
      <c r="P287" s="680"/>
      <c r="Q287" s="680"/>
      <c r="R287" s="680"/>
      <c r="S287" s="680"/>
      <c r="T287" s="680"/>
      <c r="U287" s="680"/>
      <c r="V287" s="680"/>
      <c r="W287" s="680"/>
      <c r="X287" s="680"/>
      <c r="Y287" s="680">
        <v>0</v>
      </c>
    </row>
    <row r="288" spans="1:27" s="677" customFormat="1" x14ac:dyDescent="0.3">
      <c r="A288" s="757" t="s">
        <v>873</v>
      </c>
      <c r="B288" s="704"/>
      <c r="C288" s="696"/>
      <c r="D288" s="707"/>
      <c r="E288" s="712"/>
      <c r="F288" s="680"/>
      <c r="G288" s="680"/>
      <c r="H288" s="680"/>
      <c r="I288" s="680"/>
      <c r="J288" s="680"/>
      <c r="K288" s="680"/>
      <c r="L288" s="680"/>
      <c r="M288" s="680"/>
      <c r="N288" s="680"/>
      <c r="O288" s="680"/>
      <c r="P288" s="680"/>
      <c r="Q288" s="680"/>
      <c r="R288" s="680"/>
      <c r="S288" s="680"/>
      <c r="T288" s="680"/>
      <c r="U288" s="680"/>
      <c r="V288" s="680"/>
      <c r="W288" s="680"/>
      <c r="X288" s="680"/>
      <c r="Y288" s="680"/>
    </row>
    <row r="289" spans="1:25" s="677" customFormat="1" x14ac:dyDescent="0.3">
      <c r="A289" s="763" t="s">
        <v>874</v>
      </c>
      <c r="B289" s="704"/>
      <c r="C289" s="696"/>
      <c r="D289" s="707"/>
      <c r="E289" s="712"/>
      <c r="F289" s="680"/>
      <c r="G289" s="680"/>
      <c r="H289" s="680"/>
      <c r="I289" s="680"/>
      <c r="J289" s="680"/>
      <c r="K289" s="680"/>
      <c r="L289" s="680"/>
      <c r="M289" s="680"/>
      <c r="N289" s="680"/>
      <c r="O289" s="680"/>
      <c r="P289" s="680"/>
      <c r="Q289" s="680"/>
      <c r="R289" s="680"/>
      <c r="S289" s="680"/>
      <c r="T289" s="680"/>
      <c r="U289" s="680"/>
      <c r="V289" s="680"/>
      <c r="W289" s="680"/>
      <c r="X289" s="680"/>
      <c r="Y289" s="680"/>
    </row>
    <row r="290" spans="1:25" s="677" customFormat="1" x14ac:dyDescent="0.3">
      <c r="A290" s="757" t="s">
        <v>875</v>
      </c>
      <c r="B290" s="704"/>
      <c r="C290" s="696">
        <v>100000</v>
      </c>
      <c r="D290" s="707">
        <f>+G290+H290+I290+J290+K290+L290+M290+N290+O290+P290+Q290+R290+S290+T290+U290+V290+W290+X290+Y290</f>
        <v>100000</v>
      </c>
      <c r="E290" s="696">
        <f t="shared" ref="E290" si="42">+C290-D290</f>
        <v>0</v>
      </c>
      <c r="F290" s="680"/>
      <c r="G290" s="680">
        <v>100000</v>
      </c>
      <c r="H290" s="680"/>
      <c r="I290" s="680"/>
      <c r="J290" s="680"/>
      <c r="K290" s="680"/>
      <c r="L290" s="680"/>
      <c r="M290" s="680"/>
      <c r="N290" s="680"/>
      <c r="O290" s="680"/>
      <c r="P290" s="680"/>
      <c r="Q290" s="680"/>
      <c r="R290" s="680"/>
      <c r="S290" s="680"/>
      <c r="T290" s="680"/>
      <c r="U290" s="680"/>
      <c r="V290" s="680"/>
      <c r="W290" s="680"/>
      <c r="X290" s="680"/>
      <c r="Y290" s="680"/>
    </row>
    <row r="291" spans="1:25" s="677" customFormat="1" x14ac:dyDescent="0.3">
      <c r="A291" s="757"/>
      <c r="B291" s="704"/>
      <c r="C291" s="696"/>
      <c r="D291" s="707"/>
      <c r="E291" s="712"/>
      <c r="F291" s="680"/>
      <c r="G291" s="680"/>
      <c r="H291" s="680"/>
      <c r="I291" s="680"/>
      <c r="J291" s="680"/>
      <c r="K291" s="680"/>
      <c r="L291" s="680"/>
      <c r="M291" s="680"/>
      <c r="N291" s="680"/>
      <c r="O291" s="680"/>
      <c r="P291" s="680"/>
      <c r="Q291" s="680"/>
      <c r="R291" s="680"/>
      <c r="S291" s="680"/>
      <c r="T291" s="680"/>
      <c r="U291" s="680"/>
      <c r="V291" s="680"/>
      <c r="W291" s="680"/>
      <c r="X291" s="680"/>
      <c r="Y291" s="680"/>
    </row>
    <row r="292" spans="1:25" s="677" customFormat="1" x14ac:dyDescent="0.3">
      <c r="A292" s="780"/>
      <c r="B292" s="726"/>
      <c r="C292" s="720"/>
      <c r="D292" s="727"/>
      <c r="E292" s="720"/>
      <c r="F292" s="728"/>
      <c r="G292" s="728"/>
      <c r="H292" s="728"/>
      <c r="I292" s="728"/>
      <c r="J292" s="728"/>
      <c r="K292" s="728"/>
      <c r="L292" s="728"/>
      <c r="M292" s="728"/>
      <c r="N292" s="728"/>
      <c r="O292" s="728"/>
      <c r="P292" s="728"/>
      <c r="Q292" s="728"/>
      <c r="R292" s="728"/>
      <c r="S292" s="728"/>
      <c r="T292" s="728"/>
      <c r="U292" s="728"/>
      <c r="V292" s="728"/>
      <c r="W292" s="728"/>
      <c r="X292" s="728"/>
      <c r="Y292" s="728"/>
    </row>
    <row r="293" spans="1:25" s="677" customFormat="1" x14ac:dyDescent="0.3">
      <c r="A293" s="781"/>
      <c r="B293" s="692"/>
      <c r="C293" s="730"/>
      <c r="D293" s="731"/>
      <c r="E293" s="730"/>
      <c r="F293" s="732"/>
      <c r="G293" s="732"/>
      <c r="H293" s="732"/>
      <c r="I293" s="732"/>
      <c r="J293" s="732"/>
      <c r="K293" s="732"/>
      <c r="L293" s="732"/>
      <c r="M293" s="732"/>
      <c r="N293" s="732"/>
      <c r="O293" s="732"/>
      <c r="P293" s="732"/>
      <c r="Q293" s="732"/>
      <c r="R293" s="732"/>
      <c r="S293" s="732"/>
      <c r="T293" s="732"/>
      <c r="U293" s="732"/>
      <c r="V293" s="732"/>
      <c r="W293" s="732"/>
      <c r="X293" s="732"/>
      <c r="Y293" s="732"/>
    </row>
    <row r="294" spans="1:25" s="677" customFormat="1" x14ac:dyDescent="0.3">
      <c r="A294" s="781"/>
      <c r="B294" s="692"/>
      <c r="C294" s="730"/>
      <c r="D294" s="731"/>
      <c r="E294" s="730"/>
      <c r="F294" s="732"/>
      <c r="G294" s="732"/>
      <c r="H294" s="732"/>
      <c r="I294" s="732"/>
      <c r="J294" s="732"/>
      <c r="K294" s="732"/>
      <c r="L294" s="732"/>
      <c r="M294" s="732"/>
      <c r="N294" s="732"/>
      <c r="O294" s="732"/>
      <c r="P294" s="732"/>
      <c r="Q294" s="732"/>
      <c r="R294" s="732"/>
      <c r="S294" s="732"/>
      <c r="T294" s="732"/>
      <c r="U294" s="732"/>
      <c r="V294" s="732"/>
      <c r="W294" s="732"/>
      <c r="X294" s="732"/>
      <c r="Y294" s="732"/>
    </row>
    <row r="295" spans="1:25" s="677" customFormat="1" x14ac:dyDescent="0.3">
      <c r="A295" s="781"/>
      <c r="B295" s="692"/>
      <c r="C295" s="730"/>
      <c r="D295" s="731"/>
      <c r="E295" s="730"/>
      <c r="F295" s="732"/>
      <c r="G295" s="732"/>
      <c r="H295" s="732"/>
      <c r="I295" s="732"/>
      <c r="J295" s="732"/>
      <c r="K295" s="732"/>
      <c r="L295" s="732"/>
      <c r="M295" s="732"/>
      <c r="N295" s="732"/>
      <c r="O295" s="732"/>
      <c r="P295" s="732"/>
      <c r="Q295" s="732"/>
      <c r="R295" s="732"/>
      <c r="S295" s="732"/>
      <c r="T295" s="732"/>
      <c r="U295" s="732"/>
      <c r="V295" s="732"/>
      <c r="W295" s="732"/>
      <c r="X295" s="732"/>
      <c r="Y295" s="732"/>
    </row>
    <row r="296" spans="1:25" s="677" customFormat="1" x14ac:dyDescent="0.3">
      <c r="A296" s="781"/>
      <c r="B296" s="692"/>
      <c r="C296" s="730"/>
      <c r="D296" s="731"/>
      <c r="E296" s="730"/>
      <c r="F296" s="732"/>
      <c r="G296" s="732"/>
      <c r="H296" s="732"/>
      <c r="I296" s="732"/>
      <c r="J296" s="732"/>
      <c r="K296" s="732"/>
      <c r="L296" s="732"/>
      <c r="M296" s="732"/>
      <c r="N296" s="732"/>
      <c r="O296" s="732"/>
      <c r="P296" s="732"/>
      <c r="Q296" s="732"/>
      <c r="R296" s="732"/>
      <c r="S296" s="732"/>
      <c r="T296" s="732"/>
      <c r="U296" s="732"/>
      <c r="V296" s="732"/>
      <c r="W296" s="732"/>
      <c r="X296" s="732"/>
      <c r="Y296" s="732"/>
    </row>
    <row r="297" spans="1:25" s="677" customFormat="1" x14ac:dyDescent="0.3">
      <c r="A297" s="781"/>
      <c r="B297" s="692"/>
      <c r="C297" s="730"/>
      <c r="D297" s="731"/>
      <c r="E297" s="730"/>
      <c r="F297" s="732"/>
      <c r="G297" s="732"/>
      <c r="H297" s="732"/>
      <c r="I297" s="732"/>
      <c r="J297" s="732"/>
      <c r="K297" s="732"/>
      <c r="L297" s="732"/>
      <c r="M297" s="732"/>
      <c r="N297" s="732"/>
      <c r="O297" s="732"/>
      <c r="P297" s="732"/>
      <c r="Q297" s="732"/>
      <c r="R297" s="732"/>
      <c r="S297" s="732"/>
      <c r="T297" s="732"/>
      <c r="U297" s="732"/>
      <c r="V297" s="732"/>
      <c r="W297" s="732"/>
      <c r="X297" s="732"/>
      <c r="Y297" s="732"/>
    </row>
    <row r="298" spans="1:25" s="677" customFormat="1" x14ac:dyDescent="0.3">
      <c r="A298" s="781"/>
      <c r="B298" s="692"/>
      <c r="C298" s="730"/>
      <c r="D298" s="731"/>
      <c r="E298" s="730"/>
      <c r="F298" s="732"/>
      <c r="G298" s="732"/>
      <c r="H298" s="732"/>
      <c r="I298" s="732"/>
      <c r="J298" s="732"/>
      <c r="K298" s="732"/>
      <c r="L298" s="732"/>
      <c r="M298" s="732"/>
      <c r="N298" s="732"/>
      <c r="O298" s="732"/>
      <c r="P298" s="732"/>
      <c r="Q298" s="732"/>
      <c r="R298" s="732"/>
      <c r="S298" s="732"/>
      <c r="T298" s="732"/>
      <c r="U298" s="732"/>
      <c r="V298" s="732"/>
      <c r="W298" s="732"/>
      <c r="X298" s="732"/>
      <c r="Y298" s="732"/>
    </row>
    <row r="299" spans="1:25" s="677" customFormat="1" x14ac:dyDescent="0.3">
      <c r="A299" s="781"/>
      <c r="B299" s="692"/>
      <c r="C299" s="730"/>
      <c r="D299" s="731"/>
      <c r="E299" s="730"/>
      <c r="F299" s="732"/>
      <c r="G299" s="732"/>
      <c r="H299" s="732"/>
      <c r="I299" s="732"/>
      <c r="J299" s="732"/>
      <c r="K299" s="732"/>
      <c r="L299" s="732"/>
      <c r="M299" s="732"/>
      <c r="N299" s="732"/>
      <c r="O299" s="732"/>
      <c r="P299" s="732"/>
      <c r="Q299" s="732"/>
      <c r="R299" s="732"/>
      <c r="S299" s="732"/>
      <c r="T299" s="732"/>
      <c r="U299" s="732"/>
      <c r="V299" s="732"/>
      <c r="W299" s="732"/>
      <c r="X299" s="732"/>
      <c r="Y299" s="732"/>
    </row>
    <row r="300" spans="1:25" s="677" customFormat="1" x14ac:dyDescent="0.3">
      <c r="A300" s="781"/>
      <c r="B300" s="692"/>
      <c r="C300" s="730"/>
      <c r="D300" s="731"/>
      <c r="E300" s="730"/>
      <c r="F300" s="732"/>
      <c r="G300" s="732"/>
      <c r="H300" s="732"/>
      <c r="I300" s="732"/>
      <c r="J300" s="732"/>
      <c r="K300" s="732"/>
      <c r="L300" s="732"/>
      <c r="M300" s="732"/>
      <c r="N300" s="732"/>
      <c r="O300" s="732"/>
      <c r="P300" s="732"/>
      <c r="Q300" s="732"/>
      <c r="R300" s="732"/>
      <c r="S300" s="732"/>
      <c r="T300" s="732"/>
      <c r="U300" s="732"/>
      <c r="V300" s="732"/>
      <c r="W300" s="732"/>
      <c r="X300" s="732"/>
      <c r="Y300" s="732"/>
    </row>
    <row r="301" spans="1:25" s="677" customFormat="1" x14ac:dyDescent="0.3">
      <c r="A301" s="781"/>
      <c r="B301" s="692"/>
      <c r="C301" s="730"/>
      <c r="D301" s="731"/>
      <c r="E301" s="730"/>
      <c r="F301" s="732"/>
      <c r="G301" s="732"/>
      <c r="H301" s="732"/>
      <c r="I301" s="732"/>
      <c r="J301" s="732"/>
      <c r="K301" s="732"/>
      <c r="L301" s="732"/>
      <c r="M301" s="732"/>
      <c r="N301" s="732"/>
      <c r="O301" s="732"/>
      <c r="P301" s="732"/>
      <c r="Q301" s="732"/>
      <c r="R301" s="732"/>
      <c r="S301" s="732"/>
      <c r="T301" s="732"/>
      <c r="U301" s="732"/>
      <c r="V301" s="732"/>
      <c r="W301" s="732"/>
      <c r="X301" s="732"/>
      <c r="Y301" s="732"/>
    </row>
    <row r="302" spans="1:25" s="677" customFormat="1" x14ac:dyDescent="0.3">
      <c r="A302" s="781"/>
      <c r="B302" s="692"/>
      <c r="C302" s="730"/>
      <c r="D302" s="731"/>
      <c r="E302" s="730"/>
      <c r="F302" s="732"/>
      <c r="G302" s="732"/>
      <c r="H302" s="732"/>
      <c r="I302" s="732"/>
      <c r="J302" s="732"/>
      <c r="K302" s="732"/>
      <c r="L302" s="732"/>
      <c r="M302" s="732"/>
      <c r="N302" s="732"/>
      <c r="O302" s="732"/>
      <c r="P302" s="732"/>
      <c r="Q302" s="732"/>
      <c r="R302" s="732"/>
      <c r="S302" s="732"/>
      <c r="T302" s="732"/>
      <c r="U302" s="732"/>
      <c r="V302" s="732"/>
      <c r="W302" s="732"/>
      <c r="X302" s="732"/>
      <c r="Y302" s="732"/>
    </row>
    <row r="303" spans="1:25" s="677" customFormat="1" x14ac:dyDescent="0.3">
      <c r="A303" s="781"/>
      <c r="B303" s="692"/>
      <c r="C303" s="730"/>
      <c r="D303" s="731"/>
      <c r="E303" s="730"/>
      <c r="F303" s="732"/>
      <c r="G303" s="732"/>
      <c r="H303" s="732"/>
      <c r="I303" s="732"/>
      <c r="J303" s="732"/>
      <c r="K303" s="732"/>
      <c r="L303" s="732"/>
      <c r="M303" s="732"/>
      <c r="N303" s="732"/>
      <c r="O303" s="732"/>
      <c r="P303" s="732"/>
      <c r="Q303" s="732"/>
      <c r="R303" s="732"/>
      <c r="S303" s="732"/>
      <c r="T303" s="732"/>
      <c r="U303" s="732"/>
      <c r="V303" s="732"/>
      <c r="W303" s="732"/>
      <c r="X303" s="732"/>
      <c r="Y303" s="732"/>
    </row>
    <row r="304" spans="1:25" s="677" customFormat="1" x14ac:dyDescent="0.3">
      <c r="A304" s="781"/>
      <c r="B304" s="692"/>
      <c r="C304" s="730"/>
      <c r="D304" s="731"/>
      <c r="E304" s="730"/>
      <c r="F304" s="732"/>
      <c r="G304" s="732"/>
      <c r="H304" s="732"/>
      <c r="I304" s="732"/>
      <c r="J304" s="732"/>
      <c r="K304" s="732"/>
      <c r="L304" s="732"/>
      <c r="M304" s="732"/>
      <c r="N304" s="732"/>
      <c r="O304" s="732"/>
      <c r="P304" s="732"/>
      <c r="Q304" s="732"/>
      <c r="R304" s="732"/>
      <c r="S304" s="732"/>
      <c r="T304" s="732"/>
      <c r="U304" s="732"/>
      <c r="V304" s="732"/>
      <c r="W304" s="732"/>
      <c r="X304" s="732"/>
      <c r="Y304" s="732"/>
    </row>
    <row r="305" spans="1:25" ht="23.25" x14ac:dyDescent="0.5">
      <c r="A305" s="883" t="s">
        <v>76</v>
      </c>
      <c r="B305" s="883"/>
      <c r="C305" s="883"/>
      <c r="D305" s="883"/>
      <c r="E305" s="883"/>
      <c r="F305" s="883"/>
      <c r="G305" s="883"/>
      <c r="H305" s="883"/>
      <c r="I305" s="883"/>
      <c r="J305" s="883"/>
      <c r="K305" s="883"/>
      <c r="L305" s="883"/>
      <c r="M305" s="883"/>
      <c r="N305" s="883"/>
      <c r="O305" s="883"/>
      <c r="P305" s="883"/>
      <c r="Q305" s="883"/>
      <c r="R305" s="883"/>
      <c r="S305" s="883"/>
      <c r="T305" s="883"/>
      <c r="U305" s="883"/>
      <c r="V305" s="883"/>
      <c r="W305" s="883"/>
      <c r="X305" s="883"/>
      <c r="Y305" s="883"/>
    </row>
    <row r="306" spans="1:25" ht="23.25" x14ac:dyDescent="0.5">
      <c r="A306" s="883" t="s">
        <v>792</v>
      </c>
      <c r="B306" s="883"/>
      <c r="C306" s="883"/>
      <c r="D306" s="883"/>
      <c r="E306" s="883"/>
      <c r="F306" s="883"/>
      <c r="G306" s="883"/>
      <c r="H306" s="883"/>
      <c r="I306" s="883"/>
      <c r="J306" s="883"/>
      <c r="K306" s="883"/>
      <c r="L306" s="883"/>
      <c r="M306" s="883"/>
      <c r="N306" s="883"/>
      <c r="O306" s="883"/>
      <c r="P306" s="883"/>
      <c r="Q306" s="883"/>
      <c r="R306" s="883"/>
      <c r="S306" s="883"/>
      <c r="T306" s="883"/>
      <c r="U306" s="883"/>
      <c r="V306" s="883"/>
      <c r="W306" s="883"/>
      <c r="X306" s="883"/>
      <c r="Y306" s="883"/>
    </row>
    <row r="307" spans="1:25" ht="23.25" x14ac:dyDescent="0.5">
      <c r="A307" s="883" t="s">
        <v>793</v>
      </c>
      <c r="B307" s="883"/>
      <c r="C307" s="883"/>
      <c r="D307" s="883"/>
      <c r="E307" s="883"/>
      <c r="F307" s="883"/>
      <c r="G307" s="883"/>
      <c r="H307" s="883"/>
      <c r="I307" s="883"/>
      <c r="J307" s="883"/>
      <c r="K307" s="883"/>
      <c r="L307" s="883"/>
      <c r="M307" s="883"/>
      <c r="N307" s="883"/>
      <c r="O307" s="883"/>
      <c r="P307" s="883"/>
      <c r="Q307" s="883"/>
      <c r="R307" s="883"/>
      <c r="S307" s="883"/>
      <c r="T307" s="883"/>
      <c r="U307" s="883"/>
      <c r="V307" s="883"/>
      <c r="W307" s="883"/>
      <c r="X307" s="883"/>
      <c r="Y307" s="883"/>
    </row>
    <row r="308" spans="1:25" s="643" customFormat="1" ht="10.5" x14ac:dyDescent="0.25">
      <c r="A308" s="638"/>
      <c r="B308" s="639"/>
      <c r="C308" s="884" t="s">
        <v>6</v>
      </c>
      <c r="D308" s="884" t="s">
        <v>794</v>
      </c>
      <c r="E308" s="640"/>
      <c r="F308" s="641" t="s">
        <v>41</v>
      </c>
      <c r="G308" s="875" t="s">
        <v>110</v>
      </c>
      <c r="H308" s="876"/>
      <c r="I308" s="872" t="s">
        <v>111</v>
      </c>
      <c r="J308" s="887"/>
      <c r="K308" s="874" t="s">
        <v>112</v>
      </c>
      <c r="L308" s="873"/>
      <c r="M308" s="888" t="s">
        <v>113</v>
      </c>
      <c r="N308" s="889"/>
      <c r="O308" s="642" t="s">
        <v>113</v>
      </c>
      <c r="P308" s="872" t="s">
        <v>113</v>
      </c>
      <c r="Q308" s="873"/>
      <c r="R308" s="874" t="s">
        <v>114</v>
      </c>
      <c r="S308" s="875"/>
      <c r="T308" s="874" t="s">
        <v>115</v>
      </c>
      <c r="U308" s="875"/>
      <c r="V308" s="876"/>
      <c r="W308" s="874" t="s">
        <v>116</v>
      </c>
      <c r="X308" s="873"/>
      <c r="Y308" s="642" t="s">
        <v>113</v>
      </c>
    </row>
    <row r="309" spans="1:25" s="643" customFormat="1" ht="10.5" x14ac:dyDescent="0.25">
      <c r="A309" s="644"/>
      <c r="B309" s="645"/>
      <c r="C309" s="885"/>
      <c r="D309" s="885"/>
      <c r="E309" s="646"/>
      <c r="F309" s="647"/>
      <c r="G309" s="865"/>
      <c r="H309" s="866"/>
      <c r="I309" s="877" t="s">
        <v>117</v>
      </c>
      <c r="J309" s="878"/>
      <c r="K309" s="648"/>
      <c r="L309" s="649"/>
      <c r="M309" s="879" t="s">
        <v>118</v>
      </c>
      <c r="N309" s="880"/>
      <c r="O309" s="650" t="s">
        <v>119</v>
      </c>
      <c r="P309" s="877" t="s">
        <v>120</v>
      </c>
      <c r="Q309" s="881"/>
      <c r="R309" s="644"/>
      <c r="S309" s="651"/>
      <c r="T309" s="879" t="s">
        <v>121</v>
      </c>
      <c r="U309" s="882"/>
      <c r="V309" s="880"/>
      <c r="W309" s="644" t="s">
        <v>13</v>
      </c>
      <c r="X309" s="649"/>
      <c r="Y309" s="652" t="s">
        <v>122</v>
      </c>
    </row>
    <row r="310" spans="1:25" s="643" customFormat="1" ht="10.5" x14ac:dyDescent="0.25">
      <c r="A310" s="644" t="s">
        <v>123</v>
      </c>
      <c r="B310" s="645"/>
      <c r="C310" s="885"/>
      <c r="D310" s="885"/>
      <c r="E310" s="653" t="s">
        <v>799</v>
      </c>
      <c r="F310" s="654" t="s">
        <v>124</v>
      </c>
      <c r="G310" s="865" t="s">
        <v>125</v>
      </c>
      <c r="H310" s="866"/>
      <c r="I310" s="655"/>
      <c r="J310" s="656" t="s">
        <v>126</v>
      </c>
      <c r="K310" s="863" t="s">
        <v>127</v>
      </c>
      <c r="L310" s="864"/>
      <c r="M310" s="867" t="s">
        <v>128</v>
      </c>
      <c r="N310" s="868"/>
      <c r="O310" s="654"/>
      <c r="P310" s="869" t="s">
        <v>129</v>
      </c>
      <c r="Q310" s="864"/>
      <c r="R310" s="863" t="s">
        <v>130</v>
      </c>
      <c r="S310" s="870"/>
      <c r="T310" s="863" t="s">
        <v>131</v>
      </c>
      <c r="U310" s="870"/>
      <c r="V310" s="871"/>
      <c r="W310" s="863" t="s">
        <v>132</v>
      </c>
      <c r="X310" s="864"/>
      <c r="Y310" s="654" t="s">
        <v>133</v>
      </c>
    </row>
    <row r="311" spans="1:25" s="643" customFormat="1" ht="10.5" x14ac:dyDescent="0.25">
      <c r="A311" s="657"/>
      <c r="B311" s="717"/>
      <c r="C311" s="885"/>
      <c r="D311" s="885"/>
      <c r="E311" s="653" t="s">
        <v>6</v>
      </c>
      <c r="F311" s="641" t="s">
        <v>134</v>
      </c>
      <c r="G311" s="641" t="s">
        <v>135</v>
      </c>
      <c r="H311" s="641" t="s">
        <v>135</v>
      </c>
      <c r="I311" s="659" t="s">
        <v>136</v>
      </c>
      <c r="J311" s="659" t="s">
        <v>137</v>
      </c>
      <c r="K311" s="660" t="s">
        <v>138</v>
      </c>
      <c r="L311" s="641" t="s">
        <v>139</v>
      </c>
      <c r="M311" s="641" t="s">
        <v>140</v>
      </c>
      <c r="N311" s="641" t="s">
        <v>141</v>
      </c>
      <c r="O311" s="641" t="s">
        <v>142</v>
      </c>
      <c r="P311" s="660" t="s">
        <v>138</v>
      </c>
      <c r="Q311" s="660" t="s">
        <v>143</v>
      </c>
      <c r="R311" s="641" t="s">
        <v>138</v>
      </c>
      <c r="S311" s="641" t="s">
        <v>144</v>
      </c>
      <c r="T311" s="641" t="s">
        <v>145</v>
      </c>
      <c r="U311" s="650" t="s">
        <v>146</v>
      </c>
      <c r="V311" s="661" t="s">
        <v>147</v>
      </c>
      <c r="W311" s="662" t="s">
        <v>148</v>
      </c>
      <c r="X311" s="641" t="s">
        <v>149</v>
      </c>
      <c r="Y311" s="641" t="s">
        <v>150</v>
      </c>
    </row>
    <row r="312" spans="1:25" s="643" customFormat="1" ht="10.5" x14ac:dyDescent="0.25">
      <c r="A312" s="644"/>
      <c r="B312" s="645"/>
      <c r="C312" s="885"/>
      <c r="D312" s="885"/>
      <c r="E312" s="646"/>
      <c r="F312" s="650"/>
      <c r="G312" s="650" t="s">
        <v>152</v>
      </c>
      <c r="H312" s="650" t="s">
        <v>153</v>
      </c>
      <c r="I312" s="663" t="s">
        <v>154</v>
      </c>
      <c r="J312" s="663" t="s">
        <v>155</v>
      </c>
      <c r="K312" s="664" t="s">
        <v>156</v>
      </c>
      <c r="L312" s="650" t="s">
        <v>157</v>
      </c>
      <c r="M312" s="650" t="s">
        <v>158</v>
      </c>
      <c r="N312" s="650" t="s">
        <v>159</v>
      </c>
      <c r="O312" s="650" t="s">
        <v>160</v>
      </c>
      <c r="P312" s="664" t="s">
        <v>161</v>
      </c>
      <c r="Q312" s="664" t="s">
        <v>162</v>
      </c>
      <c r="R312" s="650" t="s">
        <v>163</v>
      </c>
      <c r="S312" s="650" t="s">
        <v>164</v>
      </c>
      <c r="T312" s="650" t="s">
        <v>165</v>
      </c>
      <c r="U312" s="650" t="s">
        <v>166</v>
      </c>
      <c r="V312" s="661" t="s">
        <v>167</v>
      </c>
      <c r="W312" s="662" t="s">
        <v>168</v>
      </c>
      <c r="X312" s="650" t="s">
        <v>169</v>
      </c>
      <c r="Y312" s="650" t="s">
        <v>170</v>
      </c>
    </row>
    <row r="313" spans="1:25" s="643" customFormat="1" ht="10.5" x14ac:dyDescent="0.25">
      <c r="A313" s="665"/>
      <c r="B313" s="666"/>
      <c r="C313" s="886"/>
      <c r="D313" s="886"/>
      <c r="E313" s="667"/>
      <c r="F313" s="654" t="s">
        <v>171</v>
      </c>
      <c r="G313" s="654" t="s">
        <v>172</v>
      </c>
      <c r="H313" s="654" t="s">
        <v>173</v>
      </c>
      <c r="I313" s="668" t="s">
        <v>174</v>
      </c>
      <c r="J313" s="668"/>
      <c r="K313" s="669" t="s">
        <v>175</v>
      </c>
      <c r="L313" s="654" t="s">
        <v>176</v>
      </c>
      <c r="M313" s="654"/>
      <c r="N313" s="670" t="s">
        <v>177</v>
      </c>
      <c r="O313" s="654" t="s">
        <v>178</v>
      </c>
      <c r="P313" s="669" t="s">
        <v>179</v>
      </c>
      <c r="Q313" s="669"/>
      <c r="R313" s="654" t="s">
        <v>180</v>
      </c>
      <c r="S313" s="654" t="s">
        <v>181</v>
      </c>
      <c r="T313" s="654" t="s">
        <v>182</v>
      </c>
      <c r="U313" s="670" t="s">
        <v>183</v>
      </c>
      <c r="V313" s="669" t="s">
        <v>184</v>
      </c>
      <c r="W313" s="654" t="s">
        <v>185</v>
      </c>
      <c r="X313" s="654" t="s">
        <v>186</v>
      </c>
      <c r="Y313" s="654" t="s">
        <v>187</v>
      </c>
    </row>
    <row r="314" spans="1:25" s="677" customFormat="1" x14ac:dyDescent="0.3">
      <c r="A314" s="763" t="s">
        <v>876</v>
      </c>
      <c r="B314" s="704"/>
      <c r="C314" s="696"/>
      <c r="D314" s="707"/>
      <c r="E314" s="712"/>
      <c r="F314" s="680"/>
      <c r="G314" s="680"/>
      <c r="H314" s="680"/>
      <c r="I314" s="680"/>
      <c r="J314" s="680"/>
      <c r="K314" s="680"/>
      <c r="L314" s="680"/>
      <c r="M314" s="680"/>
      <c r="N314" s="680"/>
      <c r="O314" s="680"/>
      <c r="P314" s="680"/>
      <c r="Q314" s="680"/>
      <c r="R314" s="680"/>
      <c r="S314" s="680"/>
      <c r="T314" s="680"/>
      <c r="U314" s="680"/>
      <c r="V314" s="680"/>
      <c r="W314" s="680"/>
      <c r="X314" s="680"/>
      <c r="Y314" s="680"/>
    </row>
    <row r="315" spans="1:25" s="677" customFormat="1" x14ac:dyDescent="0.3">
      <c r="A315" s="757" t="s">
        <v>877</v>
      </c>
      <c r="B315" s="704"/>
      <c r="C315" s="696">
        <f>72000-30000-38000</f>
        <v>4000</v>
      </c>
      <c r="D315" s="707">
        <f>+G315+H315+I315+J315+K315+L315+M315+N315+O315+P315+Q315+R315+S315+T315+U315+V315+W315+X315+Y315</f>
        <v>0</v>
      </c>
      <c r="E315" s="696">
        <f t="shared" ref="E315" si="43">+C315-D315</f>
        <v>4000</v>
      </c>
      <c r="F315" s="680"/>
      <c r="G315" s="680">
        <v>0</v>
      </c>
      <c r="H315" s="680"/>
      <c r="I315" s="680"/>
      <c r="J315" s="680"/>
      <c r="K315" s="680"/>
      <c r="L315" s="680"/>
      <c r="M315" s="680"/>
      <c r="N315" s="680"/>
      <c r="O315" s="680"/>
      <c r="P315" s="680"/>
      <c r="Q315" s="680"/>
      <c r="R315" s="680"/>
      <c r="S315" s="680"/>
      <c r="T315" s="680"/>
      <c r="U315" s="680"/>
      <c r="V315" s="680"/>
      <c r="W315" s="680"/>
      <c r="X315" s="680"/>
      <c r="Y315" s="680">
        <v>0</v>
      </c>
    </row>
    <row r="316" spans="1:25" s="677" customFormat="1" x14ac:dyDescent="0.3">
      <c r="A316" s="757" t="s">
        <v>878</v>
      </c>
      <c r="B316" s="704"/>
      <c r="C316" s="696"/>
      <c r="D316" s="707"/>
      <c r="E316" s="712"/>
      <c r="F316" s="680"/>
      <c r="G316" s="680"/>
      <c r="H316" s="680"/>
      <c r="I316" s="680"/>
      <c r="J316" s="680"/>
      <c r="K316" s="680"/>
      <c r="L316" s="680"/>
      <c r="M316" s="680"/>
      <c r="N316" s="680"/>
      <c r="O316" s="680"/>
      <c r="P316" s="680"/>
      <c r="Q316" s="680"/>
      <c r="R316" s="680"/>
      <c r="S316" s="680"/>
      <c r="T316" s="680"/>
      <c r="U316" s="680"/>
      <c r="V316" s="680"/>
      <c r="W316" s="680"/>
      <c r="X316" s="680"/>
      <c r="Y316" s="680"/>
    </row>
    <row r="317" spans="1:25" s="677" customFormat="1" x14ac:dyDescent="0.3">
      <c r="A317" s="763" t="s">
        <v>879</v>
      </c>
      <c r="B317" s="704"/>
      <c r="C317" s="696"/>
      <c r="D317" s="707"/>
      <c r="E317" s="712"/>
      <c r="F317" s="680"/>
      <c r="G317" s="680"/>
      <c r="H317" s="680"/>
      <c r="I317" s="680"/>
      <c r="J317" s="680"/>
      <c r="K317" s="680"/>
      <c r="L317" s="680"/>
      <c r="M317" s="680"/>
      <c r="N317" s="680"/>
      <c r="O317" s="680"/>
      <c r="P317" s="680"/>
      <c r="Q317" s="680"/>
      <c r="R317" s="680"/>
      <c r="S317" s="680"/>
      <c r="T317" s="680"/>
      <c r="U317" s="680"/>
      <c r="V317" s="680"/>
      <c r="W317" s="680"/>
      <c r="X317" s="680"/>
      <c r="Y317" s="680"/>
    </row>
    <row r="318" spans="1:25" s="677" customFormat="1" x14ac:dyDescent="0.3">
      <c r="A318" s="757" t="s">
        <v>880</v>
      </c>
      <c r="B318" s="704"/>
      <c r="C318" s="696">
        <v>36000</v>
      </c>
      <c r="D318" s="707">
        <f>+G318+H318+I318+J318+K318+L318+M318+N318+O318+P318+Q318+R318+S318+T318+U318+V318+W318+X318+Y318</f>
        <v>36000</v>
      </c>
      <c r="E318" s="696">
        <f t="shared" ref="E318" si="44">+C318-D318</f>
        <v>0</v>
      </c>
      <c r="F318" s="680"/>
      <c r="G318" s="680">
        <v>0</v>
      </c>
      <c r="H318" s="680"/>
      <c r="I318" s="680"/>
      <c r="J318" s="680"/>
      <c r="K318" s="680"/>
      <c r="L318" s="680"/>
      <c r="M318" s="680"/>
      <c r="N318" s="680"/>
      <c r="O318" s="680"/>
      <c r="P318" s="680"/>
      <c r="Q318" s="680"/>
      <c r="R318" s="680"/>
      <c r="S318" s="680"/>
      <c r="T318" s="680"/>
      <c r="U318" s="680"/>
      <c r="V318" s="680"/>
      <c r="W318" s="680"/>
      <c r="X318" s="680"/>
      <c r="Y318" s="680">
        <v>36000</v>
      </c>
    </row>
    <row r="319" spans="1:25" s="677" customFormat="1" x14ac:dyDescent="0.3">
      <c r="A319" s="757" t="s">
        <v>881</v>
      </c>
      <c r="B319" s="704"/>
      <c r="C319" s="696"/>
      <c r="D319" s="707"/>
      <c r="E319" s="712"/>
      <c r="F319" s="680"/>
      <c r="G319" s="680"/>
      <c r="H319" s="680"/>
      <c r="I319" s="680"/>
      <c r="J319" s="680"/>
      <c r="K319" s="680"/>
      <c r="L319" s="680"/>
      <c r="M319" s="680"/>
      <c r="N319" s="680"/>
      <c r="O319" s="680"/>
      <c r="P319" s="680"/>
      <c r="Q319" s="680"/>
      <c r="R319" s="680"/>
      <c r="S319" s="680"/>
      <c r="T319" s="680"/>
      <c r="U319" s="680"/>
      <c r="V319" s="680"/>
      <c r="W319" s="680"/>
      <c r="X319" s="680"/>
      <c r="Y319" s="680"/>
    </row>
    <row r="320" spans="1:25" s="677" customFormat="1" x14ac:dyDescent="0.3">
      <c r="A320" s="757" t="s">
        <v>882</v>
      </c>
      <c r="B320" s="704"/>
      <c r="C320" s="696">
        <f>48000-48000</f>
        <v>0</v>
      </c>
      <c r="D320" s="707">
        <f>+G320+H320+I320+J320+K320+L320+M320+N320+O320+P320+Q320+R320+S320+T320+U320+V320+W320+X320+Y320</f>
        <v>0</v>
      </c>
      <c r="E320" s="696">
        <f t="shared" ref="E320" si="45">+C320-D320</f>
        <v>0</v>
      </c>
      <c r="F320" s="680"/>
      <c r="G320" s="680">
        <v>0</v>
      </c>
      <c r="H320" s="680"/>
      <c r="I320" s="680"/>
      <c r="J320" s="680"/>
      <c r="K320" s="680"/>
      <c r="L320" s="680"/>
      <c r="M320" s="680"/>
      <c r="N320" s="680"/>
      <c r="O320" s="680"/>
      <c r="P320" s="680"/>
      <c r="Q320" s="680"/>
      <c r="R320" s="680"/>
      <c r="S320" s="680"/>
      <c r="T320" s="680"/>
      <c r="U320" s="680"/>
      <c r="V320" s="680"/>
      <c r="W320" s="680"/>
      <c r="X320" s="680"/>
      <c r="Y320" s="680"/>
    </row>
    <row r="321" spans="1:27" s="677" customFormat="1" x14ac:dyDescent="0.3">
      <c r="A321" s="757" t="s">
        <v>883</v>
      </c>
      <c r="B321" s="704"/>
      <c r="C321" s="696"/>
      <c r="D321" s="707"/>
      <c r="E321" s="712"/>
      <c r="F321" s="680"/>
      <c r="G321" s="680"/>
      <c r="H321" s="680"/>
      <c r="I321" s="680"/>
      <c r="J321" s="680"/>
      <c r="K321" s="680"/>
      <c r="L321" s="680"/>
      <c r="M321" s="680"/>
      <c r="N321" s="680"/>
      <c r="O321" s="680"/>
      <c r="P321" s="680"/>
      <c r="Q321" s="680"/>
      <c r="R321" s="680"/>
      <c r="S321" s="680"/>
      <c r="T321" s="680"/>
      <c r="U321" s="680"/>
      <c r="V321" s="680"/>
      <c r="W321" s="680"/>
      <c r="X321" s="680"/>
      <c r="Y321" s="680">
        <v>0</v>
      </c>
    </row>
    <row r="322" spans="1:27" s="677" customFormat="1" x14ac:dyDescent="0.3">
      <c r="A322" s="763" t="s">
        <v>884</v>
      </c>
      <c r="B322" s="704"/>
      <c r="C322" s="696"/>
      <c r="D322" s="707"/>
      <c r="E322" s="712"/>
      <c r="F322" s="680"/>
      <c r="G322" s="680"/>
      <c r="H322" s="680"/>
      <c r="I322" s="680"/>
      <c r="J322" s="680"/>
      <c r="K322" s="680"/>
      <c r="L322" s="680"/>
      <c r="M322" s="680"/>
      <c r="N322" s="680"/>
      <c r="O322" s="680"/>
      <c r="P322" s="680"/>
      <c r="Q322" s="680"/>
      <c r="R322" s="680"/>
      <c r="S322" s="680"/>
      <c r="T322" s="680"/>
      <c r="U322" s="680"/>
      <c r="V322" s="680"/>
      <c r="W322" s="680"/>
      <c r="X322" s="680"/>
      <c r="Y322" s="680"/>
    </row>
    <row r="323" spans="1:27" s="677" customFormat="1" x14ac:dyDescent="0.3">
      <c r="A323" s="757" t="s">
        <v>885</v>
      </c>
      <c r="B323" s="704"/>
      <c r="C323" s="696">
        <v>38000</v>
      </c>
      <c r="D323" s="707">
        <f t="shared" ref="D323" si="46">+G323+H323+I323+J323+K323+L323+M323+N323+O323+P323+Q323+R323+S323+T323+U323+V323+W323+X323+Y323</f>
        <v>38000</v>
      </c>
      <c r="E323" s="696">
        <f t="shared" ref="E323" si="47">+C323-D323</f>
        <v>0</v>
      </c>
      <c r="F323" s="680"/>
      <c r="G323" s="680">
        <v>38000</v>
      </c>
      <c r="H323" s="680"/>
      <c r="I323" s="680"/>
      <c r="J323" s="680"/>
      <c r="K323" s="680"/>
      <c r="L323" s="680"/>
      <c r="M323" s="680"/>
      <c r="N323" s="680"/>
      <c r="O323" s="680"/>
      <c r="P323" s="680"/>
      <c r="Q323" s="680"/>
      <c r="R323" s="680"/>
      <c r="S323" s="680"/>
      <c r="T323" s="680"/>
      <c r="U323" s="680"/>
      <c r="V323" s="680"/>
      <c r="W323" s="680"/>
      <c r="X323" s="680"/>
      <c r="Y323" s="680"/>
    </row>
    <row r="324" spans="1:27" s="677" customFormat="1" ht="15" x14ac:dyDescent="0.35">
      <c r="A324" s="782"/>
      <c r="B324" s="704"/>
      <c r="C324" s="696"/>
      <c r="D324" s="707"/>
      <c r="E324" s="712"/>
      <c r="F324" s="680"/>
      <c r="G324" s="680"/>
      <c r="H324" s="680"/>
      <c r="I324" s="680"/>
      <c r="J324" s="680"/>
      <c r="K324" s="680"/>
      <c r="L324" s="680"/>
      <c r="M324" s="680"/>
      <c r="N324" s="680"/>
      <c r="O324" s="680"/>
      <c r="P324" s="680"/>
      <c r="Q324" s="680"/>
      <c r="R324" s="680"/>
      <c r="S324" s="680"/>
      <c r="T324" s="680"/>
      <c r="U324" s="680"/>
      <c r="V324" s="680"/>
      <c r="W324" s="680"/>
      <c r="X324" s="680"/>
      <c r="Y324" s="680"/>
      <c r="AA324" s="677">
        <v>9</v>
      </c>
    </row>
    <row r="325" spans="1:27" s="677" customFormat="1" x14ac:dyDescent="0.3">
      <c r="A325" s="684" t="s">
        <v>189</v>
      </c>
      <c r="B325" s="685"/>
      <c r="C325" s="687">
        <f t="shared" ref="C325:Y325" si="48">SUM(C278:C324)</f>
        <v>625700</v>
      </c>
      <c r="D325" s="687">
        <f>SUM(D278:D324)</f>
        <v>612283.23</v>
      </c>
      <c r="E325" s="687">
        <f t="shared" si="48"/>
        <v>13416.770000000004</v>
      </c>
      <c r="F325" s="687">
        <f t="shared" si="48"/>
        <v>0</v>
      </c>
      <c r="G325" s="687">
        <f>SUM(G278:G324)</f>
        <v>404000</v>
      </c>
      <c r="H325" s="687">
        <f t="shared" si="48"/>
        <v>68000</v>
      </c>
      <c r="I325" s="687">
        <f t="shared" si="48"/>
        <v>0</v>
      </c>
      <c r="J325" s="687">
        <f t="shared" si="48"/>
        <v>94683.23</v>
      </c>
      <c r="K325" s="687">
        <f t="shared" si="48"/>
        <v>0</v>
      </c>
      <c r="L325" s="687">
        <f t="shared" si="48"/>
        <v>0</v>
      </c>
      <c r="M325" s="687">
        <f t="shared" si="48"/>
        <v>0</v>
      </c>
      <c r="N325" s="687">
        <f t="shared" si="48"/>
        <v>0</v>
      </c>
      <c r="O325" s="687">
        <f t="shared" si="48"/>
        <v>0</v>
      </c>
      <c r="P325" s="687">
        <f t="shared" si="48"/>
        <v>0</v>
      </c>
      <c r="Q325" s="687">
        <f t="shared" si="48"/>
        <v>0</v>
      </c>
      <c r="R325" s="687">
        <f t="shared" si="48"/>
        <v>9600</v>
      </c>
      <c r="S325" s="687">
        <f t="shared" si="48"/>
        <v>0</v>
      </c>
      <c r="T325" s="687">
        <f t="shared" si="48"/>
        <v>0</v>
      </c>
      <c r="U325" s="687">
        <f t="shared" si="48"/>
        <v>0</v>
      </c>
      <c r="V325" s="687">
        <f t="shared" si="48"/>
        <v>0</v>
      </c>
      <c r="W325" s="687">
        <f t="shared" si="48"/>
        <v>0</v>
      </c>
      <c r="X325" s="687">
        <f t="shared" si="48"/>
        <v>0</v>
      </c>
      <c r="Y325" s="687">
        <f t="shared" si="48"/>
        <v>36000</v>
      </c>
    </row>
    <row r="326" spans="1:27" s="677" customFormat="1" x14ac:dyDescent="0.3">
      <c r="A326" s="783"/>
      <c r="B326" s="760"/>
      <c r="C326" s="773"/>
      <c r="D326" s="773"/>
      <c r="E326" s="774"/>
      <c r="F326" s="743"/>
      <c r="G326" s="743"/>
      <c r="H326" s="743"/>
      <c r="I326" s="775"/>
      <c r="J326" s="775"/>
      <c r="K326" s="751"/>
      <c r="L326" s="743"/>
      <c r="M326" s="743"/>
      <c r="N326" s="750"/>
      <c r="O326" s="743"/>
      <c r="P326" s="751"/>
      <c r="Q326" s="751"/>
      <c r="R326" s="743"/>
      <c r="S326" s="743"/>
      <c r="T326" s="743"/>
      <c r="U326" s="750"/>
      <c r="V326" s="751"/>
      <c r="W326" s="743"/>
      <c r="X326" s="743"/>
      <c r="Y326" s="743"/>
    </row>
    <row r="327" spans="1:27" s="677" customFormat="1" x14ac:dyDescent="0.3">
      <c r="A327" s="784" t="s">
        <v>886</v>
      </c>
      <c r="B327" s="764"/>
      <c r="C327" s="785"/>
      <c r="D327" s="785"/>
      <c r="E327" s="786"/>
      <c r="F327" s="787"/>
      <c r="G327" s="787"/>
      <c r="H327" s="787"/>
      <c r="I327" s="788"/>
      <c r="J327" s="788"/>
      <c r="K327" s="789"/>
      <c r="L327" s="787"/>
      <c r="M327" s="787"/>
      <c r="N327" s="790"/>
      <c r="O327" s="787"/>
      <c r="P327" s="789"/>
      <c r="Q327" s="789"/>
      <c r="R327" s="787"/>
      <c r="S327" s="787"/>
      <c r="T327" s="787"/>
      <c r="U327" s="790"/>
      <c r="V327" s="789"/>
      <c r="W327" s="787"/>
      <c r="X327" s="787"/>
      <c r="Y327" s="787"/>
    </row>
    <row r="328" spans="1:27" s="677" customFormat="1" x14ac:dyDescent="0.3">
      <c r="A328" s="791" t="s">
        <v>887</v>
      </c>
      <c r="B328" s="764"/>
      <c r="C328" s="765">
        <f>20000-20000</f>
        <v>0</v>
      </c>
      <c r="D328" s="707">
        <f>+G328+H328+I328+J328+K328+L328+M328+N328+O328+P328+Q328+R328+S328+T328+U328+V328+W328+X328+Y328</f>
        <v>0</v>
      </c>
      <c r="E328" s="696">
        <f t="shared" ref="E328" si="49">+C328-D328</f>
        <v>0</v>
      </c>
      <c r="F328" s="787"/>
      <c r="G328" s="680">
        <v>0</v>
      </c>
      <c r="H328" s="787"/>
      <c r="I328" s="788"/>
      <c r="J328" s="788"/>
      <c r="K328" s="789"/>
      <c r="L328" s="787"/>
      <c r="M328" s="787"/>
      <c r="N328" s="790"/>
      <c r="O328" s="787"/>
      <c r="P328" s="789"/>
      <c r="Q328" s="789"/>
      <c r="R328" s="787"/>
      <c r="S328" s="787"/>
      <c r="T328" s="787"/>
      <c r="U328" s="790"/>
      <c r="V328" s="789"/>
      <c r="W328" s="787"/>
      <c r="X328" s="787"/>
      <c r="Y328" s="787"/>
    </row>
    <row r="329" spans="1:27" s="677" customFormat="1" x14ac:dyDescent="0.3">
      <c r="A329" s="792" t="s">
        <v>189</v>
      </c>
      <c r="B329" s="685"/>
      <c r="C329" s="702">
        <f t="shared" ref="C329:Y329" si="50">SUM(C328)</f>
        <v>0</v>
      </c>
      <c r="D329" s="702">
        <f t="shared" si="50"/>
        <v>0</v>
      </c>
      <c r="E329" s="702">
        <f t="shared" si="50"/>
        <v>0</v>
      </c>
      <c r="F329" s="702">
        <f t="shared" si="50"/>
        <v>0</v>
      </c>
      <c r="G329" s="702">
        <f t="shared" si="50"/>
        <v>0</v>
      </c>
      <c r="H329" s="702">
        <f t="shared" si="50"/>
        <v>0</v>
      </c>
      <c r="I329" s="702">
        <f t="shared" si="50"/>
        <v>0</v>
      </c>
      <c r="J329" s="702">
        <f t="shared" si="50"/>
        <v>0</v>
      </c>
      <c r="K329" s="702">
        <f t="shared" si="50"/>
        <v>0</v>
      </c>
      <c r="L329" s="702">
        <f t="shared" si="50"/>
        <v>0</v>
      </c>
      <c r="M329" s="702">
        <f t="shared" si="50"/>
        <v>0</v>
      </c>
      <c r="N329" s="702">
        <f t="shared" si="50"/>
        <v>0</v>
      </c>
      <c r="O329" s="702">
        <f t="shared" si="50"/>
        <v>0</v>
      </c>
      <c r="P329" s="702">
        <f t="shared" si="50"/>
        <v>0</v>
      </c>
      <c r="Q329" s="702">
        <f t="shared" si="50"/>
        <v>0</v>
      </c>
      <c r="R329" s="702">
        <f t="shared" si="50"/>
        <v>0</v>
      </c>
      <c r="S329" s="702">
        <f t="shared" si="50"/>
        <v>0</v>
      </c>
      <c r="T329" s="702">
        <f t="shared" si="50"/>
        <v>0</v>
      </c>
      <c r="U329" s="702">
        <f t="shared" si="50"/>
        <v>0</v>
      </c>
      <c r="V329" s="702">
        <f t="shared" si="50"/>
        <v>0</v>
      </c>
      <c r="W329" s="702">
        <f t="shared" si="50"/>
        <v>0</v>
      </c>
      <c r="X329" s="702">
        <f t="shared" si="50"/>
        <v>0</v>
      </c>
      <c r="Y329" s="702">
        <f t="shared" si="50"/>
        <v>0</v>
      </c>
    </row>
    <row r="330" spans="1:27" ht="21" x14ac:dyDescent="0.45">
      <c r="A330" s="793"/>
      <c r="B330" s="794"/>
      <c r="C330" s="795"/>
      <c r="D330" s="795"/>
      <c r="E330" s="795"/>
      <c r="F330" s="795"/>
      <c r="G330" s="795"/>
      <c r="H330" s="795"/>
      <c r="I330" s="795"/>
      <c r="J330" s="795"/>
      <c r="K330" s="795"/>
      <c r="L330" s="795"/>
      <c r="M330" s="795"/>
      <c r="N330" s="795"/>
      <c r="O330" s="795"/>
      <c r="P330" s="795"/>
      <c r="Q330" s="795"/>
      <c r="R330" s="795"/>
      <c r="S330" s="795"/>
      <c r="T330" s="795"/>
      <c r="U330" s="795"/>
      <c r="V330" s="795"/>
      <c r="W330" s="795"/>
      <c r="X330" s="795"/>
      <c r="Y330" s="795"/>
    </row>
    <row r="331" spans="1:27" ht="21" x14ac:dyDescent="0.45">
      <c r="A331" s="793"/>
      <c r="B331" s="794"/>
      <c r="C331" s="795"/>
      <c r="D331" s="795"/>
      <c r="E331" s="795"/>
      <c r="F331" s="795"/>
      <c r="G331" s="795"/>
      <c r="H331" s="795"/>
      <c r="I331" s="795"/>
      <c r="J331" s="795"/>
      <c r="K331" s="795"/>
      <c r="L331" s="795"/>
      <c r="M331" s="795"/>
      <c r="N331" s="795"/>
      <c r="O331" s="795"/>
      <c r="P331" s="795"/>
      <c r="Q331" s="795"/>
      <c r="R331" s="795"/>
      <c r="S331" s="795"/>
      <c r="T331" s="795"/>
      <c r="U331" s="795"/>
      <c r="V331" s="795"/>
      <c r="W331" s="795"/>
      <c r="X331" s="795"/>
      <c r="Y331" s="795"/>
    </row>
    <row r="332" spans="1:27" ht="21" x14ac:dyDescent="0.45">
      <c r="A332" s="793"/>
      <c r="B332" s="794"/>
      <c r="C332" s="795"/>
      <c r="D332" s="795"/>
      <c r="E332" s="795"/>
      <c r="F332" s="795"/>
      <c r="G332" s="795"/>
      <c r="H332" s="795"/>
      <c r="I332" s="795"/>
      <c r="J332" s="795"/>
      <c r="K332" s="795"/>
      <c r="L332" s="795"/>
      <c r="M332" s="795"/>
      <c r="N332" s="795"/>
      <c r="O332" s="795"/>
      <c r="P332" s="795"/>
      <c r="Q332" s="795"/>
      <c r="R332" s="795"/>
      <c r="S332" s="795"/>
      <c r="T332" s="795"/>
      <c r="U332" s="795"/>
      <c r="V332" s="795"/>
      <c r="W332" s="795"/>
      <c r="X332" s="795"/>
      <c r="Y332" s="795"/>
    </row>
    <row r="333" spans="1:27" ht="21" x14ac:dyDescent="0.45">
      <c r="A333" s="793"/>
      <c r="B333" s="794"/>
      <c r="C333" s="795"/>
      <c r="D333" s="795"/>
      <c r="E333" s="795"/>
      <c r="F333" s="795"/>
      <c r="G333" s="795"/>
      <c r="H333" s="795"/>
      <c r="I333" s="795"/>
      <c r="J333" s="795"/>
      <c r="K333" s="795"/>
      <c r="L333" s="795"/>
      <c r="M333" s="795"/>
      <c r="N333" s="795"/>
      <c r="O333" s="795"/>
      <c r="P333" s="795"/>
      <c r="Q333" s="795"/>
      <c r="R333" s="795"/>
      <c r="S333" s="795"/>
      <c r="T333" s="795"/>
      <c r="U333" s="795"/>
      <c r="V333" s="795"/>
      <c r="W333" s="795"/>
      <c r="X333" s="795"/>
      <c r="Y333" s="795"/>
    </row>
    <row r="334" spans="1:27" ht="21" x14ac:dyDescent="0.45">
      <c r="A334" s="793"/>
      <c r="B334" s="794"/>
      <c r="C334" s="795"/>
      <c r="D334" s="795"/>
      <c r="E334" s="795"/>
      <c r="F334" s="795"/>
      <c r="G334" s="795"/>
      <c r="H334" s="795"/>
      <c r="I334" s="795"/>
      <c r="J334" s="795"/>
      <c r="K334" s="795"/>
      <c r="L334" s="795"/>
      <c r="M334" s="795"/>
      <c r="N334" s="795"/>
      <c r="O334" s="795"/>
      <c r="P334" s="795"/>
      <c r="Q334" s="795"/>
      <c r="R334" s="795"/>
      <c r="S334" s="795"/>
      <c r="T334" s="795"/>
      <c r="U334" s="795"/>
      <c r="V334" s="795"/>
      <c r="W334" s="795"/>
      <c r="X334" s="795"/>
      <c r="Y334" s="795"/>
    </row>
    <row r="335" spans="1:27" ht="21" x14ac:dyDescent="0.45">
      <c r="A335" s="793"/>
      <c r="B335" s="794"/>
      <c r="C335" s="795"/>
      <c r="D335" s="795"/>
      <c r="E335" s="795"/>
      <c r="F335" s="795"/>
      <c r="G335" s="795"/>
      <c r="H335" s="795"/>
      <c r="I335" s="795"/>
      <c r="J335" s="795"/>
      <c r="K335" s="795"/>
      <c r="L335" s="795"/>
      <c r="M335" s="795"/>
      <c r="N335" s="795"/>
      <c r="O335" s="795"/>
      <c r="P335" s="795"/>
      <c r="Q335" s="795"/>
      <c r="R335" s="795"/>
      <c r="S335" s="795"/>
      <c r="T335" s="795"/>
      <c r="U335" s="795"/>
      <c r="V335" s="795"/>
      <c r="W335" s="795"/>
      <c r="X335" s="795"/>
      <c r="Y335" s="795"/>
    </row>
    <row r="336" spans="1:27" ht="21" x14ac:dyDescent="0.45">
      <c r="A336" s="793"/>
      <c r="B336" s="794"/>
      <c r="C336" s="795"/>
      <c r="D336" s="795"/>
      <c r="E336" s="795"/>
      <c r="F336" s="795"/>
      <c r="G336" s="795"/>
      <c r="H336" s="795"/>
      <c r="I336" s="795"/>
      <c r="J336" s="795"/>
      <c r="K336" s="795"/>
      <c r="L336" s="795"/>
      <c r="M336" s="795"/>
      <c r="N336" s="795"/>
      <c r="O336" s="795"/>
      <c r="P336" s="795"/>
      <c r="Q336" s="795"/>
      <c r="R336" s="795"/>
      <c r="S336" s="795"/>
      <c r="T336" s="795"/>
      <c r="U336" s="795"/>
      <c r="V336" s="795"/>
      <c r="W336" s="795"/>
      <c r="X336" s="795"/>
      <c r="Y336" s="795"/>
    </row>
    <row r="337" spans="1:25" ht="21" x14ac:dyDescent="0.45">
      <c r="A337" s="793"/>
      <c r="B337" s="794"/>
      <c r="C337" s="795"/>
      <c r="D337" s="795"/>
      <c r="E337" s="795"/>
      <c r="F337" s="795"/>
      <c r="G337" s="795"/>
      <c r="H337" s="795"/>
      <c r="I337" s="795"/>
      <c r="J337" s="795"/>
      <c r="K337" s="795"/>
      <c r="L337" s="795"/>
      <c r="M337" s="795"/>
      <c r="N337" s="795"/>
      <c r="O337" s="795"/>
      <c r="P337" s="795"/>
      <c r="Q337" s="795"/>
      <c r="R337" s="795"/>
      <c r="S337" s="795"/>
      <c r="T337" s="795"/>
      <c r="U337" s="795"/>
      <c r="V337" s="795"/>
      <c r="W337" s="795"/>
      <c r="X337" s="795"/>
      <c r="Y337" s="795"/>
    </row>
    <row r="338" spans="1:25" ht="21" x14ac:dyDescent="0.45">
      <c r="A338" s="793"/>
      <c r="B338" s="794"/>
      <c r="C338" s="795"/>
      <c r="D338" s="795"/>
      <c r="E338" s="795"/>
      <c r="F338" s="795"/>
      <c r="G338" s="795"/>
      <c r="H338" s="795"/>
      <c r="I338" s="795"/>
      <c r="J338" s="795"/>
      <c r="K338" s="795"/>
      <c r="L338" s="795"/>
      <c r="M338" s="795"/>
      <c r="N338" s="795"/>
      <c r="O338" s="795"/>
      <c r="P338" s="795"/>
      <c r="Q338" s="795"/>
      <c r="R338" s="795"/>
      <c r="S338" s="795"/>
      <c r="T338" s="795"/>
      <c r="U338" s="795"/>
      <c r="V338" s="795"/>
      <c r="W338" s="795"/>
      <c r="X338" s="795"/>
      <c r="Y338" s="795"/>
    </row>
    <row r="339" spans="1:25" ht="21" x14ac:dyDescent="0.45">
      <c r="A339" s="793"/>
      <c r="B339" s="794"/>
      <c r="C339" s="795"/>
      <c r="D339" s="795"/>
      <c r="E339" s="795"/>
      <c r="F339" s="795"/>
      <c r="G339" s="795"/>
      <c r="H339" s="795"/>
      <c r="I339" s="795"/>
      <c r="J339" s="795"/>
      <c r="K339" s="795"/>
      <c r="L339" s="795"/>
      <c r="M339" s="795"/>
      <c r="N339" s="795"/>
      <c r="O339" s="795"/>
      <c r="P339" s="795"/>
      <c r="Q339" s="795"/>
      <c r="R339" s="795"/>
      <c r="S339" s="795"/>
      <c r="T339" s="795"/>
      <c r="U339" s="795"/>
      <c r="V339" s="795"/>
      <c r="W339" s="795"/>
      <c r="X339" s="795"/>
      <c r="Y339" s="795"/>
    </row>
    <row r="340" spans="1:25" ht="23.25" x14ac:dyDescent="0.5">
      <c r="A340" s="883" t="s">
        <v>76</v>
      </c>
      <c r="B340" s="883"/>
      <c r="C340" s="883"/>
      <c r="D340" s="883"/>
      <c r="E340" s="883"/>
      <c r="F340" s="883"/>
      <c r="G340" s="883"/>
      <c r="H340" s="883"/>
      <c r="I340" s="883"/>
      <c r="J340" s="883"/>
      <c r="K340" s="883"/>
      <c r="L340" s="883"/>
      <c r="M340" s="883"/>
      <c r="N340" s="883"/>
      <c r="O340" s="883"/>
      <c r="P340" s="883"/>
      <c r="Q340" s="883"/>
      <c r="R340" s="883"/>
      <c r="S340" s="883"/>
      <c r="T340" s="883"/>
      <c r="U340" s="883"/>
      <c r="V340" s="883"/>
      <c r="W340" s="883"/>
      <c r="X340" s="883"/>
      <c r="Y340" s="883"/>
    </row>
    <row r="341" spans="1:25" ht="23.25" x14ac:dyDescent="0.5">
      <c r="A341" s="883" t="s">
        <v>792</v>
      </c>
      <c r="B341" s="883"/>
      <c r="C341" s="883"/>
      <c r="D341" s="883"/>
      <c r="E341" s="883"/>
      <c r="F341" s="883"/>
      <c r="G341" s="883"/>
      <c r="H341" s="883"/>
      <c r="I341" s="883"/>
      <c r="J341" s="883"/>
      <c r="K341" s="883"/>
      <c r="L341" s="883"/>
      <c r="M341" s="883"/>
      <c r="N341" s="883"/>
      <c r="O341" s="883"/>
      <c r="P341" s="883"/>
      <c r="Q341" s="883"/>
      <c r="R341" s="883"/>
      <c r="S341" s="883"/>
      <c r="T341" s="883"/>
      <c r="U341" s="883"/>
      <c r="V341" s="883"/>
      <c r="W341" s="883"/>
      <c r="X341" s="883"/>
      <c r="Y341" s="883"/>
    </row>
    <row r="342" spans="1:25" ht="23.25" x14ac:dyDescent="0.5">
      <c r="A342" s="883" t="s">
        <v>793</v>
      </c>
      <c r="B342" s="883"/>
      <c r="C342" s="883"/>
      <c r="D342" s="883"/>
      <c r="E342" s="883"/>
      <c r="F342" s="883"/>
      <c r="G342" s="883"/>
      <c r="H342" s="883"/>
      <c r="I342" s="883"/>
      <c r="J342" s="883"/>
      <c r="K342" s="883"/>
      <c r="L342" s="883"/>
      <c r="M342" s="883"/>
      <c r="N342" s="883"/>
      <c r="O342" s="883"/>
      <c r="P342" s="883"/>
      <c r="Q342" s="883"/>
      <c r="R342" s="883"/>
      <c r="S342" s="883"/>
      <c r="T342" s="883"/>
      <c r="U342" s="883"/>
      <c r="V342" s="883"/>
      <c r="W342" s="883"/>
      <c r="X342" s="883"/>
      <c r="Y342" s="883"/>
    </row>
    <row r="343" spans="1:25" s="643" customFormat="1" ht="10.5" x14ac:dyDescent="0.25">
      <c r="A343" s="638"/>
      <c r="B343" s="639"/>
      <c r="C343" s="884" t="s">
        <v>6</v>
      </c>
      <c r="D343" s="884" t="s">
        <v>794</v>
      </c>
      <c r="E343" s="640"/>
      <c r="F343" s="641" t="s">
        <v>41</v>
      </c>
      <c r="G343" s="875" t="s">
        <v>110</v>
      </c>
      <c r="H343" s="876"/>
      <c r="I343" s="872" t="s">
        <v>111</v>
      </c>
      <c r="J343" s="887"/>
      <c r="K343" s="874" t="s">
        <v>112</v>
      </c>
      <c r="L343" s="873"/>
      <c r="M343" s="888" t="s">
        <v>113</v>
      </c>
      <c r="N343" s="889"/>
      <c r="O343" s="642" t="s">
        <v>113</v>
      </c>
      <c r="P343" s="872" t="s">
        <v>113</v>
      </c>
      <c r="Q343" s="873"/>
      <c r="R343" s="874" t="s">
        <v>114</v>
      </c>
      <c r="S343" s="875"/>
      <c r="T343" s="874" t="s">
        <v>115</v>
      </c>
      <c r="U343" s="875"/>
      <c r="V343" s="876"/>
      <c r="W343" s="874" t="s">
        <v>116</v>
      </c>
      <c r="X343" s="873"/>
      <c r="Y343" s="642" t="s">
        <v>113</v>
      </c>
    </row>
    <row r="344" spans="1:25" s="643" customFormat="1" ht="10.5" x14ac:dyDescent="0.25">
      <c r="A344" s="644"/>
      <c r="B344" s="645"/>
      <c r="C344" s="885"/>
      <c r="D344" s="885"/>
      <c r="E344" s="646"/>
      <c r="F344" s="647"/>
      <c r="G344" s="865"/>
      <c r="H344" s="866"/>
      <c r="I344" s="877" t="s">
        <v>117</v>
      </c>
      <c r="J344" s="878"/>
      <c r="K344" s="648"/>
      <c r="L344" s="649"/>
      <c r="M344" s="879" t="s">
        <v>118</v>
      </c>
      <c r="N344" s="880"/>
      <c r="O344" s="650" t="s">
        <v>119</v>
      </c>
      <c r="P344" s="877" t="s">
        <v>120</v>
      </c>
      <c r="Q344" s="881"/>
      <c r="R344" s="644"/>
      <c r="S344" s="651"/>
      <c r="T344" s="879" t="s">
        <v>121</v>
      </c>
      <c r="U344" s="882"/>
      <c r="V344" s="880"/>
      <c r="W344" s="644" t="s">
        <v>13</v>
      </c>
      <c r="X344" s="649"/>
      <c r="Y344" s="652" t="s">
        <v>122</v>
      </c>
    </row>
    <row r="345" spans="1:25" s="643" customFormat="1" ht="10.5" x14ac:dyDescent="0.25">
      <c r="A345" s="644" t="s">
        <v>123</v>
      </c>
      <c r="B345" s="645"/>
      <c r="C345" s="885"/>
      <c r="D345" s="885"/>
      <c r="E345" s="653" t="s">
        <v>799</v>
      </c>
      <c r="F345" s="654" t="s">
        <v>124</v>
      </c>
      <c r="G345" s="865" t="s">
        <v>125</v>
      </c>
      <c r="H345" s="866"/>
      <c r="I345" s="655"/>
      <c r="J345" s="656" t="s">
        <v>126</v>
      </c>
      <c r="K345" s="863" t="s">
        <v>127</v>
      </c>
      <c r="L345" s="864"/>
      <c r="M345" s="867" t="s">
        <v>128</v>
      </c>
      <c r="N345" s="868"/>
      <c r="O345" s="654"/>
      <c r="P345" s="869" t="s">
        <v>129</v>
      </c>
      <c r="Q345" s="864"/>
      <c r="R345" s="863" t="s">
        <v>130</v>
      </c>
      <c r="S345" s="870"/>
      <c r="T345" s="863" t="s">
        <v>131</v>
      </c>
      <c r="U345" s="870"/>
      <c r="V345" s="871"/>
      <c r="W345" s="863" t="s">
        <v>132</v>
      </c>
      <c r="X345" s="864"/>
      <c r="Y345" s="654" t="s">
        <v>133</v>
      </c>
    </row>
    <row r="346" spans="1:25" s="643" customFormat="1" ht="10.5" x14ac:dyDescent="0.25">
      <c r="A346" s="657"/>
      <c r="B346" s="717"/>
      <c r="C346" s="885"/>
      <c r="D346" s="885"/>
      <c r="E346" s="653" t="s">
        <v>6</v>
      </c>
      <c r="F346" s="641" t="s">
        <v>134</v>
      </c>
      <c r="G346" s="641" t="s">
        <v>135</v>
      </c>
      <c r="H346" s="641" t="s">
        <v>135</v>
      </c>
      <c r="I346" s="659" t="s">
        <v>136</v>
      </c>
      <c r="J346" s="659" t="s">
        <v>137</v>
      </c>
      <c r="K346" s="660" t="s">
        <v>138</v>
      </c>
      <c r="L346" s="641" t="s">
        <v>139</v>
      </c>
      <c r="M346" s="641" t="s">
        <v>140</v>
      </c>
      <c r="N346" s="641" t="s">
        <v>141</v>
      </c>
      <c r="O346" s="641" t="s">
        <v>142</v>
      </c>
      <c r="P346" s="660" t="s">
        <v>138</v>
      </c>
      <c r="Q346" s="660" t="s">
        <v>143</v>
      </c>
      <c r="R346" s="641" t="s">
        <v>138</v>
      </c>
      <c r="S346" s="641" t="s">
        <v>144</v>
      </c>
      <c r="T346" s="641" t="s">
        <v>145</v>
      </c>
      <c r="U346" s="650" t="s">
        <v>146</v>
      </c>
      <c r="V346" s="661" t="s">
        <v>147</v>
      </c>
      <c r="W346" s="662" t="s">
        <v>148</v>
      </c>
      <c r="X346" s="641" t="s">
        <v>149</v>
      </c>
      <c r="Y346" s="641" t="s">
        <v>150</v>
      </c>
    </row>
    <row r="347" spans="1:25" s="643" customFormat="1" ht="10.5" x14ac:dyDescent="0.25">
      <c r="A347" s="644"/>
      <c r="B347" s="645"/>
      <c r="C347" s="885"/>
      <c r="D347" s="885"/>
      <c r="E347" s="646"/>
      <c r="F347" s="650"/>
      <c r="G347" s="650" t="s">
        <v>152</v>
      </c>
      <c r="H347" s="650" t="s">
        <v>153</v>
      </c>
      <c r="I347" s="663" t="s">
        <v>154</v>
      </c>
      <c r="J347" s="663" t="s">
        <v>155</v>
      </c>
      <c r="K347" s="664" t="s">
        <v>156</v>
      </c>
      <c r="L347" s="650" t="s">
        <v>157</v>
      </c>
      <c r="M347" s="650" t="s">
        <v>158</v>
      </c>
      <c r="N347" s="650" t="s">
        <v>159</v>
      </c>
      <c r="O347" s="650" t="s">
        <v>160</v>
      </c>
      <c r="P347" s="664" t="s">
        <v>161</v>
      </c>
      <c r="Q347" s="664" t="s">
        <v>162</v>
      </c>
      <c r="R347" s="650" t="s">
        <v>163</v>
      </c>
      <c r="S347" s="650" t="s">
        <v>164</v>
      </c>
      <c r="T347" s="650" t="s">
        <v>165</v>
      </c>
      <c r="U347" s="650" t="s">
        <v>166</v>
      </c>
      <c r="V347" s="661" t="s">
        <v>167</v>
      </c>
      <c r="W347" s="662" t="s">
        <v>168</v>
      </c>
      <c r="X347" s="650" t="s">
        <v>169</v>
      </c>
      <c r="Y347" s="650" t="s">
        <v>170</v>
      </c>
    </row>
    <row r="348" spans="1:25" s="643" customFormat="1" ht="10.5" x14ac:dyDescent="0.25">
      <c r="A348" s="665"/>
      <c r="B348" s="666"/>
      <c r="C348" s="886"/>
      <c r="D348" s="886"/>
      <c r="E348" s="667"/>
      <c r="F348" s="654" t="s">
        <v>171</v>
      </c>
      <c r="G348" s="654" t="s">
        <v>172</v>
      </c>
      <c r="H348" s="654" t="s">
        <v>173</v>
      </c>
      <c r="I348" s="668" t="s">
        <v>174</v>
      </c>
      <c r="J348" s="668"/>
      <c r="K348" s="669" t="s">
        <v>175</v>
      </c>
      <c r="L348" s="654" t="s">
        <v>176</v>
      </c>
      <c r="M348" s="654"/>
      <c r="N348" s="670" t="s">
        <v>177</v>
      </c>
      <c r="O348" s="654" t="s">
        <v>178</v>
      </c>
      <c r="P348" s="669" t="s">
        <v>179</v>
      </c>
      <c r="Q348" s="669"/>
      <c r="R348" s="654" t="s">
        <v>180</v>
      </c>
      <c r="S348" s="654" t="s">
        <v>181</v>
      </c>
      <c r="T348" s="654" t="s">
        <v>182</v>
      </c>
      <c r="U348" s="670" t="s">
        <v>183</v>
      </c>
      <c r="V348" s="669" t="s">
        <v>184</v>
      </c>
      <c r="W348" s="654" t="s">
        <v>185</v>
      </c>
      <c r="X348" s="654" t="s">
        <v>186</v>
      </c>
      <c r="Y348" s="654" t="s">
        <v>187</v>
      </c>
    </row>
    <row r="349" spans="1:25" s="677" customFormat="1" x14ac:dyDescent="0.3">
      <c r="A349" s="796" t="s">
        <v>888</v>
      </c>
      <c r="B349" s="760"/>
      <c r="C349" s="773"/>
      <c r="D349" s="773"/>
      <c r="E349" s="773"/>
      <c r="F349" s="773"/>
      <c r="G349" s="743"/>
      <c r="H349" s="743"/>
      <c r="I349" s="775"/>
      <c r="J349" s="775"/>
      <c r="K349" s="751"/>
      <c r="L349" s="743"/>
      <c r="M349" s="743"/>
      <c r="N349" s="750"/>
      <c r="O349" s="743"/>
      <c r="P349" s="751"/>
      <c r="Q349" s="751"/>
      <c r="R349" s="743"/>
      <c r="S349" s="743"/>
      <c r="T349" s="743"/>
      <c r="U349" s="750"/>
      <c r="V349" s="751"/>
      <c r="W349" s="743"/>
      <c r="X349" s="743"/>
      <c r="Y349" s="743"/>
    </row>
    <row r="350" spans="1:25" s="677" customFormat="1" x14ac:dyDescent="0.3">
      <c r="A350" s="671" t="s">
        <v>889</v>
      </c>
      <c r="B350" s="679">
        <v>542000</v>
      </c>
      <c r="C350" s="797"/>
      <c r="D350" s="797"/>
      <c r="E350" s="797"/>
      <c r="F350" s="798"/>
      <c r="G350" s="799"/>
      <c r="H350" s="799"/>
      <c r="I350" s="799"/>
      <c r="J350" s="800"/>
      <c r="K350" s="800"/>
      <c r="L350" s="799"/>
      <c r="M350" s="799"/>
      <c r="N350" s="799"/>
      <c r="O350" s="799"/>
      <c r="P350" s="800"/>
      <c r="Q350" s="800"/>
      <c r="R350" s="799"/>
      <c r="S350" s="799"/>
      <c r="T350" s="799"/>
      <c r="U350" s="799"/>
      <c r="V350" s="800"/>
      <c r="W350" s="799"/>
      <c r="X350" s="799"/>
      <c r="Y350" s="799"/>
    </row>
    <row r="351" spans="1:25" s="677" customFormat="1" x14ac:dyDescent="0.3">
      <c r="A351" s="757" t="s">
        <v>890</v>
      </c>
      <c r="B351" s="704"/>
      <c r="C351" s="696">
        <v>966000</v>
      </c>
      <c r="D351" s="707">
        <f>+G351+H351+I351+J351+K351+L351+M351+N351+O351+P351+Q351+R351+S351+T351+U351+V351+W351+X351+Y351</f>
        <v>933000</v>
      </c>
      <c r="E351" s="696">
        <f t="shared" ref="E351" si="51">+C351-D351</f>
        <v>33000</v>
      </c>
      <c r="F351" s="680"/>
      <c r="G351" s="680"/>
      <c r="H351" s="680"/>
      <c r="I351" s="680"/>
      <c r="J351" s="680"/>
      <c r="K351" s="680"/>
      <c r="L351" s="680"/>
      <c r="M351" s="680"/>
      <c r="N351" s="680"/>
      <c r="O351" s="680"/>
      <c r="P351" s="680"/>
      <c r="Q351" s="680"/>
      <c r="R351" s="680"/>
      <c r="S351" s="680">
        <v>933000</v>
      </c>
      <c r="T351" s="680"/>
      <c r="U351" s="680"/>
      <c r="V351" s="680"/>
      <c r="W351" s="680"/>
      <c r="X351" s="680"/>
      <c r="Y351" s="680"/>
    </row>
    <row r="352" spans="1:25" s="677" customFormat="1" x14ac:dyDescent="0.3">
      <c r="A352" s="757" t="s">
        <v>891</v>
      </c>
      <c r="B352" s="704"/>
      <c r="C352" s="696"/>
      <c r="D352" s="707"/>
      <c r="E352" s="696"/>
      <c r="F352" s="680"/>
      <c r="G352" s="680"/>
      <c r="H352" s="680"/>
      <c r="I352" s="680"/>
      <c r="J352" s="680"/>
      <c r="K352" s="680"/>
      <c r="L352" s="680"/>
      <c r="M352" s="680"/>
      <c r="N352" s="680"/>
      <c r="O352" s="680"/>
      <c r="P352" s="680"/>
      <c r="Q352" s="680"/>
      <c r="R352" s="680"/>
      <c r="S352" s="680"/>
      <c r="T352" s="680"/>
      <c r="U352" s="680"/>
      <c r="V352" s="680"/>
      <c r="W352" s="680"/>
      <c r="X352" s="680"/>
      <c r="Y352" s="680"/>
    </row>
    <row r="353" spans="1:27" s="677" customFormat="1" x14ac:dyDescent="0.3">
      <c r="A353" s="757" t="s">
        <v>892</v>
      </c>
      <c r="B353" s="704"/>
      <c r="C353" s="696">
        <v>648500</v>
      </c>
      <c r="D353" s="707">
        <f>+G353+H353+I353+J353+K353+L353+M353+N353+O353+P353+Q353+R353+S353+T353+U353+V353+W353+X353+Y353</f>
        <v>646000</v>
      </c>
      <c r="E353" s="696">
        <f t="shared" ref="E353" si="52">+C353-D353</f>
        <v>2500</v>
      </c>
      <c r="F353" s="680"/>
      <c r="G353" s="680"/>
      <c r="H353" s="680"/>
      <c r="I353" s="680"/>
      <c r="J353" s="680"/>
      <c r="K353" s="680"/>
      <c r="L353" s="680"/>
      <c r="M353" s="680"/>
      <c r="N353" s="680"/>
      <c r="O353" s="680"/>
      <c r="P353" s="680"/>
      <c r="Q353" s="680"/>
      <c r="R353" s="680"/>
      <c r="S353" s="680">
        <v>646000</v>
      </c>
      <c r="T353" s="680"/>
      <c r="U353" s="680"/>
      <c r="V353" s="680"/>
      <c r="W353" s="680"/>
      <c r="X353" s="680"/>
      <c r="Y353" s="680"/>
    </row>
    <row r="354" spans="1:27" s="677" customFormat="1" x14ac:dyDescent="0.3">
      <c r="A354" s="757" t="s">
        <v>893</v>
      </c>
      <c r="B354" s="704"/>
      <c r="C354" s="696"/>
      <c r="D354" s="696"/>
      <c r="E354" s="696"/>
      <c r="F354" s="680"/>
      <c r="G354" s="680"/>
      <c r="H354" s="680"/>
      <c r="I354" s="680"/>
      <c r="J354" s="680"/>
      <c r="K354" s="680"/>
      <c r="L354" s="680"/>
      <c r="M354" s="680"/>
      <c r="N354" s="680"/>
      <c r="O354" s="680"/>
      <c r="P354" s="680"/>
      <c r="Q354" s="680"/>
      <c r="R354" s="680"/>
      <c r="S354" s="680"/>
      <c r="T354" s="680"/>
      <c r="U354" s="680"/>
      <c r="V354" s="680"/>
      <c r="W354" s="680"/>
      <c r="X354" s="680"/>
      <c r="Y354" s="680"/>
    </row>
    <row r="355" spans="1:27" s="677" customFormat="1" x14ac:dyDescent="0.3">
      <c r="A355" s="757" t="s">
        <v>894</v>
      </c>
      <c r="B355" s="704"/>
      <c r="C355" s="696">
        <v>896000</v>
      </c>
      <c r="D355" s="707">
        <f>+G355+H355+I355+J355+K355+L355+M355+N355+O355+P355+Q355+R355+S355+T355+U355+V355+W355+X355+Y355</f>
        <v>884000</v>
      </c>
      <c r="E355" s="696">
        <f t="shared" ref="E355" si="53">+C355-D355</f>
        <v>12000</v>
      </c>
      <c r="F355" s="680"/>
      <c r="G355" s="680"/>
      <c r="H355" s="680"/>
      <c r="I355" s="680"/>
      <c r="J355" s="680"/>
      <c r="K355" s="680"/>
      <c r="L355" s="680"/>
      <c r="M355" s="680"/>
      <c r="N355" s="680"/>
      <c r="O355" s="680"/>
      <c r="P355" s="680"/>
      <c r="Q355" s="680"/>
      <c r="R355" s="680"/>
      <c r="S355" s="680">
        <v>884000</v>
      </c>
      <c r="T355" s="680"/>
      <c r="U355" s="680"/>
      <c r="V355" s="680"/>
      <c r="W355" s="680"/>
      <c r="X355" s="680"/>
      <c r="Y355" s="680"/>
    </row>
    <row r="356" spans="1:27" s="677" customFormat="1" x14ac:dyDescent="0.3">
      <c r="A356" s="757" t="s">
        <v>895</v>
      </c>
      <c r="B356" s="704"/>
      <c r="C356" s="696"/>
      <c r="D356" s="707"/>
      <c r="E356" s="696"/>
      <c r="F356" s="680"/>
      <c r="G356" s="680"/>
      <c r="H356" s="680"/>
      <c r="I356" s="680"/>
      <c r="J356" s="680"/>
      <c r="K356" s="680"/>
      <c r="L356" s="680"/>
      <c r="M356" s="680"/>
      <c r="N356" s="680"/>
      <c r="O356" s="680"/>
      <c r="P356" s="680"/>
      <c r="Q356" s="680"/>
      <c r="R356" s="680"/>
      <c r="S356" s="680"/>
      <c r="T356" s="680"/>
      <c r="U356" s="680"/>
      <c r="V356" s="680"/>
      <c r="W356" s="680"/>
      <c r="X356" s="680"/>
      <c r="Y356" s="680"/>
    </row>
    <row r="357" spans="1:27" s="677" customFormat="1" x14ac:dyDescent="0.3">
      <c r="A357" s="757" t="s">
        <v>313</v>
      </c>
      <c r="B357" s="704"/>
      <c r="C357" s="696">
        <v>976600</v>
      </c>
      <c r="D357" s="707">
        <v>976600</v>
      </c>
      <c r="E357" s="696">
        <f t="shared" ref="E357" si="54">+C357-D357</f>
        <v>0</v>
      </c>
      <c r="F357" s="680"/>
      <c r="G357" s="680"/>
      <c r="H357" s="680"/>
      <c r="I357" s="680"/>
      <c r="J357" s="680"/>
      <c r="K357" s="680"/>
      <c r="L357" s="680"/>
      <c r="M357" s="680"/>
      <c r="N357" s="680"/>
      <c r="O357" s="680"/>
      <c r="P357" s="680"/>
      <c r="Q357" s="680"/>
      <c r="R357" s="680"/>
      <c r="S357" s="680">
        <v>976000</v>
      </c>
      <c r="T357" s="680"/>
      <c r="U357" s="680"/>
      <c r="V357" s="680"/>
      <c r="W357" s="680"/>
      <c r="X357" s="680"/>
      <c r="Y357" s="680"/>
    </row>
    <row r="358" spans="1:27" s="677" customFormat="1" x14ac:dyDescent="0.3">
      <c r="A358" s="757" t="s">
        <v>896</v>
      </c>
      <c r="B358" s="704"/>
      <c r="C358" s="696"/>
      <c r="D358" s="696"/>
      <c r="E358" s="696"/>
      <c r="F358" s="680"/>
      <c r="G358" s="680"/>
      <c r="H358" s="680"/>
      <c r="I358" s="680"/>
      <c r="J358" s="680"/>
      <c r="K358" s="680"/>
      <c r="L358" s="680"/>
      <c r="M358" s="680"/>
      <c r="N358" s="680"/>
      <c r="O358" s="680"/>
      <c r="P358" s="680"/>
      <c r="Q358" s="680"/>
      <c r="R358" s="680"/>
      <c r="S358" s="680"/>
      <c r="T358" s="680"/>
      <c r="U358" s="680"/>
      <c r="V358" s="680"/>
      <c r="W358" s="680"/>
      <c r="X358" s="680"/>
      <c r="Y358" s="680"/>
    </row>
    <row r="359" spans="1:27" s="677" customFormat="1" x14ac:dyDescent="0.3">
      <c r="A359" s="757" t="s">
        <v>897</v>
      </c>
      <c r="B359" s="704"/>
      <c r="C359" s="696">
        <v>1195400</v>
      </c>
      <c r="D359" s="707">
        <f>+G359+H359+I359+J359+K359+L359+M359+N359+O359+P359+Q359+R359+S359+T359+U359+V359+W359+X359+Y359</f>
        <v>1190000</v>
      </c>
      <c r="E359" s="696">
        <f t="shared" ref="E359" si="55">+C359-D359</f>
        <v>5400</v>
      </c>
      <c r="F359" s="680"/>
      <c r="G359" s="680"/>
      <c r="H359" s="680"/>
      <c r="I359" s="680"/>
      <c r="J359" s="680"/>
      <c r="K359" s="680"/>
      <c r="L359" s="680"/>
      <c r="M359" s="680"/>
      <c r="N359" s="680"/>
      <c r="O359" s="680"/>
      <c r="P359" s="680"/>
      <c r="Q359" s="680"/>
      <c r="R359" s="680"/>
      <c r="S359" s="680">
        <v>1190000</v>
      </c>
      <c r="T359" s="680"/>
      <c r="U359" s="680"/>
      <c r="V359" s="680"/>
      <c r="W359" s="680"/>
      <c r="X359" s="680"/>
      <c r="Y359" s="680"/>
    </row>
    <row r="360" spans="1:27" s="677" customFormat="1" x14ac:dyDescent="0.3">
      <c r="A360" s="757" t="s">
        <v>898</v>
      </c>
      <c r="B360" s="704"/>
      <c r="C360" s="696"/>
      <c r="D360" s="696"/>
      <c r="E360" s="696"/>
      <c r="F360" s="680"/>
      <c r="G360" s="680"/>
      <c r="H360" s="680"/>
      <c r="I360" s="680"/>
      <c r="J360" s="680"/>
      <c r="K360" s="680"/>
      <c r="L360" s="680"/>
      <c r="M360" s="680"/>
      <c r="N360" s="680"/>
      <c r="O360" s="680"/>
      <c r="P360" s="680"/>
      <c r="Q360" s="680"/>
      <c r="R360" s="680"/>
      <c r="S360" s="680">
        <v>195000</v>
      </c>
      <c r="T360" s="680"/>
      <c r="U360" s="680"/>
      <c r="V360" s="680"/>
      <c r="W360" s="680"/>
      <c r="X360" s="680"/>
      <c r="Y360" s="680"/>
      <c r="AA360" s="677">
        <v>10</v>
      </c>
    </row>
    <row r="361" spans="1:27" s="677" customFormat="1" x14ac:dyDescent="0.3">
      <c r="A361" s="757" t="s">
        <v>899</v>
      </c>
      <c r="B361" s="704"/>
      <c r="C361" s="696">
        <f>95000+100000</f>
        <v>195000</v>
      </c>
      <c r="D361" s="696">
        <v>195000</v>
      </c>
      <c r="E361" s="696">
        <f t="shared" ref="E361:E362" si="56">+C361-D361</f>
        <v>0</v>
      </c>
      <c r="F361" s="680"/>
      <c r="G361" s="680"/>
      <c r="H361" s="680"/>
      <c r="I361" s="680"/>
      <c r="J361" s="680"/>
      <c r="K361" s="680"/>
      <c r="L361" s="680"/>
      <c r="M361" s="680"/>
      <c r="N361" s="680"/>
      <c r="O361" s="680"/>
      <c r="P361" s="680"/>
      <c r="Q361" s="680"/>
      <c r="R361" s="680"/>
      <c r="S361" s="680"/>
      <c r="T361" s="680"/>
      <c r="U361" s="680"/>
      <c r="V361" s="680"/>
      <c r="W361" s="680"/>
      <c r="X361" s="680"/>
      <c r="Y361" s="680"/>
    </row>
    <row r="362" spans="1:27" s="677" customFormat="1" x14ac:dyDescent="0.3">
      <c r="A362" s="757" t="s">
        <v>900</v>
      </c>
      <c r="B362" s="704"/>
      <c r="C362" s="696">
        <v>50000</v>
      </c>
      <c r="D362" s="696">
        <v>50000</v>
      </c>
      <c r="E362" s="696">
        <f t="shared" si="56"/>
        <v>0</v>
      </c>
      <c r="F362" s="680"/>
      <c r="G362" s="680"/>
      <c r="H362" s="680"/>
      <c r="I362" s="680"/>
      <c r="J362" s="680"/>
      <c r="K362" s="680"/>
      <c r="L362" s="680"/>
      <c r="M362" s="680"/>
      <c r="N362" s="680"/>
      <c r="O362" s="680"/>
      <c r="P362" s="680"/>
      <c r="Q362" s="680"/>
      <c r="R362" s="680"/>
      <c r="S362" s="680"/>
      <c r="T362" s="680"/>
      <c r="U362" s="680"/>
      <c r="V362" s="680"/>
      <c r="W362" s="680"/>
      <c r="X362" s="680"/>
      <c r="Y362" s="680"/>
    </row>
    <row r="363" spans="1:27" s="677" customFormat="1" x14ac:dyDescent="0.3">
      <c r="A363" s="757" t="s">
        <v>901</v>
      </c>
      <c r="B363" s="704"/>
      <c r="C363" s="696"/>
      <c r="D363" s="696"/>
      <c r="E363" s="696"/>
      <c r="F363" s="680"/>
      <c r="G363" s="680"/>
      <c r="H363" s="680"/>
      <c r="I363" s="680"/>
      <c r="J363" s="680"/>
      <c r="K363" s="680"/>
      <c r="L363" s="680"/>
      <c r="M363" s="680"/>
      <c r="N363" s="680"/>
      <c r="O363" s="680"/>
      <c r="P363" s="680"/>
      <c r="Q363" s="680"/>
      <c r="R363" s="680"/>
      <c r="S363" s="680"/>
      <c r="T363" s="680"/>
      <c r="U363" s="680">
        <v>50000</v>
      </c>
      <c r="V363" s="680"/>
      <c r="W363" s="680"/>
      <c r="X363" s="680"/>
      <c r="Y363" s="680"/>
    </row>
    <row r="364" spans="1:27" s="677" customFormat="1" x14ac:dyDescent="0.3">
      <c r="A364" s="757" t="s">
        <v>902</v>
      </c>
      <c r="B364" s="704"/>
      <c r="C364" s="696">
        <f>42000+40000+30800</f>
        <v>112800</v>
      </c>
      <c r="D364" s="707">
        <v>112800</v>
      </c>
      <c r="E364" s="696">
        <f t="shared" ref="E364" si="57">+C364-D364</f>
        <v>0</v>
      </c>
      <c r="F364" s="680"/>
      <c r="G364" s="680"/>
      <c r="H364" s="680"/>
      <c r="I364" s="680"/>
      <c r="J364" s="680"/>
      <c r="K364" s="680"/>
      <c r="L364" s="680"/>
      <c r="M364" s="680"/>
      <c r="N364" s="680"/>
      <c r="O364" s="680"/>
      <c r="P364" s="680"/>
      <c r="Q364" s="680"/>
      <c r="R364" s="680"/>
      <c r="S364" s="680">
        <v>0</v>
      </c>
      <c r="T364" s="680"/>
      <c r="U364" s="680"/>
      <c r="V364" s="680"/>
      <c r="W364" s="680"/>
      <c r="X364" s="680"/>
      <c r="Y364" s="680"/>
    </row>
    <row r="365" spans="1:27" s="677" customFormat="1" x14ac:dyDescent="0.3">
      <c r="A365" s="756"/>
      <c r="B365" s="801"/>
      <c r="C365" s="712"/>
      <c r="D365" s="707"/>
      <c r="E365" s="712"/>
      <c r="F365" s="713"/>
      <c r="G365" s="713"/>
      <c r="H365" s="713"/>
      <c r="I365" s="713"/>
      <c r="J365" s="713"/>
      <c r="K365" s="713"/>
      <c r="L365" s="713"/>
      <c r="M365" s="713"/>
      <c r="N365" s="713"/>
      <c r="O365" s="713"/>
      <c r="P365" s="713"/>
      <c r="Q365" s="713"/>
      <c r="R365" s="713"/>
      <c r="S365" s="713"/>
      <c r="T365" s="713"/>
      <c r="U365" s="713">
        <v>112800</v>
      </c>
      <c r="V365" s="713"/>
      <c r="W365" s="713"/>
      <c r="X365" s="713"/>
      <c r="Y365" s="713"/>
    </row>
    <row r="366" spans="1:27" s="677" customFormat="1" x14ac:dyDescent="0.3">
      <c r="A366" s="757"/>
      <c r="B366" s="704"/>
      <c r="C366" s="696"/>
      <c r="D366" s="707"/>
      <c r="E366" s="696"/>
      <c r="F366" s="680"/>
      <c r="G366" s="680"/>
      <c r="H366" s="680"/>
      <c r="I366" s="680"/>
      <c r="J366" s="680"/>
      <c r="K366" s="680"/>
      <c r="L366" s="680"/>
      <c r="M366" s="680"/>
      <c r="N366" s="680"/>
      <c r="O366" s="680"/>
      <c r="P366" s="680"/>
      <c r="Q366" s="680"/>
      <c r="R366" s="680"/>
      <c r="S366" s="680"/>
      <c r="T366" s="680"/>
      <c r="U366" s="680"/>
      <c r="V366" s="680"/>
      <c r="W366" s="680"/>
      <c r="X366" s="680"/>
      <c r="Y366" s="680"/>
    </row>
    <row r="367" spans="1:27" s="677" customFormat="1" x14ac:dyDescent="0.3">
      <c r="A367" s="802"/>
      <c r="B367" s="803"/>
      <c r="C367" s="804"/>
      <c r="D367" s="805"/>
      <c r="E367" s="718"/>
      <c r="F367" s="806"/>
      <c r="G367" s="806"/>
      <c r="H367" s="806"/>
      <c r="I367" s="806"/>
      <c r="J367" s="806"/>
      <c r="K367" s="806"/>
      <c r="L367" s="806"/>
      <c r="M367" s="806"/>
      <c r="N367" s="806"/>
      <c r="O367" s="806"/>
      <c r="P367" s="806"/>
      <c r="Q367" s="806"/>
      <c r="R367" s="806"/>
      <c r="S367" s="806"/>
      <c r="T367" s="806"/>
      <c r="U367" s="806"/>
      <c r="V367" s="806"/>
      <c r="W367" s="806"/>
      <c r="X367" s="806"/>
      <c r="Y367" s="806"/>
    </row>
    <row r="368" spans="1:27" s="677" customFormat="1" ht="15" thickBot="1" x14ac:dyDescent="0.35">
      <c r="A368" s="807" t="s">
        <v>189</v>
      </c>
      <c r="B368" s="808"/>
      <c r="C368" s="687">
        <f t="shared" ref="C368:Y368" si="58">SUM(C351:C367)</f>
        <v>5040300</v>
      </c>
      <c r="D368" s="687">
        <f t="shared" si="58"/>
        <v>4987400</v>
      </c>
      <c r="E368" s="809">
        <f t="shared" ref="E368:E369" si="59">+C368-D368</f>
        <v>52900</v>
      </c>
      <c r="F368" s="687">
        <f t="shared" si="58"/>
        <v>0</v>
      </c>
      <c r="G368" s="687">
        <f t="shared" si="58"/>
        <v>0</v>
      </c>
      <c r="H368" s="687">
        <f t="shared" si="58"/>
        <v>0</v>
      </c>
      <c r="I368" s="687">
        <f t="shared" si="58"/>
        <v>0</v>
      </c>
      <c r="J368" s="687">
        <f t="shared" si="58"/>
        <v>0</v>
      </c>
      <c r="K368" s="687">
        <f t="shared" si="58"/>
        <v>0</v>
      </c>
      <c r="L368" s="687">
        <f t="shared" si="58"/>
        <v>0</v>
      </c>
      <c r="M368" s="687">
        <f t="shared" si="58"/>
        <v>0</v>
      </c>
      <c r="N368" s="687">
        <f t="shared" si="58"/>
        <v>0</v>
      </c>
      <c r="O368" s="687">
        <f t="shared" si="58"/>
        <v>0</v>
      </c>
      <c r="P368" s="687">
        <f t="shared" si="58"/>
        <v>0</v>
      </c>
      <c r="Q368" s="687">
        <f t="shared" si="58"/>
        <v>0</v>
      </c>
      <c r="R368" s="687">
        <f t="shared" si="58"/>
        <v>0</v>
      </c>
      <c r="S368" s="687">
        <f t="shared" si="58"/>
        <v>4824000</v>
      </c>
      <c r="T368" s="687">
        <f t="shared" si="58"/>
        <v>0</v>
      </c>
      <c r="U368" s="687">
        <f t="shared" si="58"/>
        <v>162800</v>
      </c>
      <c r="V368" s="687">
        <f t="shared" si="58"/>
        <v>0</v>
      </c>
      <c r="W368" s="687">
        <f t="shared" si="58"/>
        <v>0</v>
      </c>
      <c r="X368" s="687">
        <f t="shared" si="58"/>
        <v>0</v>
      </c>
      <c r="Y368" s="687">
        <f t="shared" si="58"/>
        <v>0</v>
      </c>
    </row>
    <row r="369" spans="1:25" s="677" customFormat="1" ht="15.75" thickTop="1" thickBot="1" x14ac:dyDescent="0.35">
      <c r="A369" s="810" t="s">
        <v>262</v>
      </c>
      <c r="B369" s="811"/>
      <c r="C369" s="812">
        <f>+C368+C248+C213+C206+C168+C49+C30+C23+C16+C329+C325</f>
        <v>22010000</v>
      </c>
      <c r="D369" s="812">
        <f>+D368+D329+D325+D248+D213+D206+D168+D49+D30+D23+D16</f>
        <v>20660868.330000002</v>
      </c>
      <c r="E369" s="813">
        <f t="shared" si="59"/>
        <v>1349131.6699999981</v>
      </c>
      <c r="F369" s="812">
        <f t="shared" ref="F369:Y369" si="60">+F368+F329+F325+F248+F213+F206+F168+F49+F30+F23+F16</f>
        <v>1800174.21</v>
      </c>
      <c r="G369" s="812">
        <f t="shared" si="60"/>
        <v>6884947.0600000005</v>
      </c>
      <c r="H369" s="812">
        <f t="shared" si="60"/>
        <v>1135156.75</v>
      </c>
      <c r="I369" s="812">
        <f t="shared" si="60"/>
        <v>0</v>
      </c>
      <c r="J369" s="812">
        <f t="shared" si="60"/>
        <v>264577.23</v>
      </c>
      <c r="K369" s="812">
        <f t="shared" si="60"/>
        <v>70621</v>
      </c>
      <c r="L369" s="812">
        <f t="shared" si="60"/>
        <v>1379155.82</v>
      </c>
      <c r="M369" s="812">
        <f t="shared" si="60"/>
        <v>0</v>
      </c>
      <c r="N369" s="812">
        <f t="shared" si="60"/>
        <v>12170</v>
      </c>
      <c r="O369" s="812">
        <f t="shared" si="60"/>
        <v>0</v>
      </c>
      <c r="P369" s="812">
        <f t="shared" si="60"/>
        <v>0</v>
      </c>
      <c r="Q369" s="812">
        <f t="shared" si="60"/>
        <v>57540</v>
      </c>
      <c r="R369" s="812">
        <f t="shared" si="60"/>
        <v>1648536.99</v>
      </c>
      <c r="S369" s="812">
        <f t="shared" si="60"/>
        <v>4824000</v>
      </c>
      <c r="T369" s="812">
        <f t="shared" si="60"/>
        <v>51463</v>
      </c>
      <c r="U369" s="812">
        <f t="shared" si="60"/>
        <v>323625</v>
      </c>
      <c r="V369" s="812">
        <f t="shared" si="60"/>
        <v>446516</v>
      </c>
      <c r="W369" s="812">
        <f t="shared" si="60"/>
        <v>0</v>
      </c>
      <c r="X369" s="812">
        <f t="shared" si="60"/>
        <v>0</v>
      </c>
      <c r="Y369" s="812">
        <f t="shared" si="60"/>
        <v>1711785.2699999998</v>
      </c>
    </row>
    <row r="370" spans="1:25" ht="15" thickTop="1" x14ac:dyDescent="0.2"/>
    <row r="373" spans="1:25" s="815" customFormat="1" ht="21.75" customHeight="1" x14ac:dyDescent="0.55000000000000004">
      <c r="A373" s="814" t="s">
        <v>903</v>
      </c>
      <c r="E373" s="816" t="s">
        <v>904</v>
      </c>
      <c r="P373" s="814" t="s">
        <v>905</v>
      </c>
    </row>
    <row r="374" spans="1:25" s="815" customFormat="1" ht="21" customHeight="1" x14ac:dyDescent="0.55000000000000004">
      <c r="A374" s="814" t="s">
        <v>906</v>
      </c>
      <c r="F374" s="817" t="s">
        <v>907</v>
      </c>
      <c r="P374" s="814" t="s">
        <v>908</v>
      </c>
    </row>
    <row r="375" spans="1:25" s="815" customFormat="1" ht="21.75" customHeight="1" x14ac:dyDescent="0.55000000000000004">
      <c r="A375" s="814" t="s">
        <v>909</v>
      </c>
      <c r="E375" s="814" t="s">
        <v>910</v>
      </c>
      <c r="P375" s="818" t="s">
        <v>911</v>
      </c>
    </row>
    <row r="376" spans="1:25" s="815" customFormat="1" ht="24" x14ac:dyDescent="0.55000000000000004">
      <c r="A376" s="816"/>
      <c r="F376" s="814" t="s">
        <v>912</v>
      </c>
      <c r="K376" s="816"/>
    </row>
  </sheetData>
  <mergeCells count="250">
    <mergeCell ref="R4:S4"/>
    <mergeCell ref="T4:V4"/>
    <mergeCell ref="W4:X4"/>
    <mergeCell ref="G5:H5"/>
    <mergeCell ref="I5:J5"/>
    <mergeCell ref="M5:N5"/>
    <mergeCell ref="P5:Q5"/>
    <mergeCell ref="T5:V5"/>
    <mergeCell ref="A1:Y1"/>
    <mergeCell ref="A2:Y2"/>
    <mergeCell ref="A3:Y3"/>
    <mergeCell ref="C4:C9"/>
    <mergeCell ref="D4:D9"/>
    <mergeCell ref="G4:H4"/>
    <mergeCell ref="I4:J4"/>
    <mergeCell ref="K4:L4"/>
    <mergeCell ref="M4:N4"/>
    <mergeCell ref="P4:Q4"/>
    <mergeCell ref="W6:X6"/>
    <mergeCell ref="A32:Y32"/>
    <mergeCell ref="A33:Y33"/>
    <mergeCell ref="A34:Y34"/>
    <mergeCell ref="C35:C40"/>
    <mergeCell ref="D35:D40"/>
    <mergeCell ref="G35:H35"/>
    <mergeCell ref="I35:J35"/>
    <mergeCell ref="K35:L35"/>
    <mergeCell ref="M35:N35"/>
    <mergeCell ref="G6:H6"/>
    <mergeCell ref="K6:L6"/>
    <mergeCell ref="M6:N6"/>
    <mergeCell ref="P6:Q6"/>
    <mergeCell ref="R6:S6"/>
    <mergeCell ref="T6:V6"/>
    <mergeCell ref="P35:Q35"/>
    <mergeCell ref="R35:S35"/>
    <mergeCell ref="T35:V35"/>
    <mergeCell ref="W35:X35"/>
    <mergeCell ref="G36:H36"/>
    <mergeCell ref="I36:J36"/>
    <mergeCell ref="M36:N36"/>
    <mergeCell ref="P36:Q36"/>
    <mergeCell ref="T36:V36"/>
    <mergeCell ref="W37:X37"/>
    <mergeCell ref="A71:Y71"/>
    <mergeCell ref="A72:Y72"/>
    <mergeCell ref="A73:Y73"/>
    <mergeCell ref="C74:C79"/>
    <mergeCell ref="D74:D79"/>
    <mergeCell ref="G74:H74"/>
    <mergeCell ref="I74:J74"/>
    <mergeCell ref="K74:L74"/>
    <mergeCell ref="M74:N74"/>
    <mergeCell ref="G37:H37"/>
    <mergeCell ref="K37:L37"/>
    <mergeCell ref="M37:N37"/>
    <mergeCell ref="P37:Q37"/>
    <mergeCell ref="R37:S37"/>
    <mergeCell ref="T37:V37"/>
    <mergeCell ref="P74:Q74"/>
    <mergeCell ref="R74:S74"/>
    <mergeCell ref="T74:V74"/>
    <mergeCell ref="W74:X74"/>
    <mergeCell ref="G75:H75"/>
    <mergeCell ref="I75:J75"/>
    <mergeCell ref="M75:N75"/>
    <mergeCell ref="P75:Q75"/>
    <mergeCell ref="T75:V75"/>
    <mergeCell ref="W76:X76"/>
    <mergeCell ref="A110:Y110"/>
    <mergeCell ref="A111:Y111"/>
    <mergeCell ref="A112:Y112"/>
    <mergeCell ref="C113:C118"/>
    <mergeCell ref="D113:D118"/>
    <mergeCell ref="G113:H113"/>
    <mergeCell ref="I113:J113"/>
    <mergeCell ref="K113:L113"/>
    <mergeCell ref="M113:N113"/>
    <mergeCell ref="G76:H76"/>
    <mergeCell ref="K76:L76"/>
    <mergeCell ref="M76:N76"/>
    <mergeCell ref="P76:Q76"/>
    <mergeCell ref="R76:S76"/>
    <mergeCell ref="T76:V76"/>
    <mergeCell ref="P113:Q113"/>
    <mergeCell ref="R113:S113"/>
    <mergeCell ref="T113:V113"/>
    <mergeCell ref="W113:X113"/>
    <mergeCell ref="G114:H114"/>
    <mergeCell ref="I114:J114"/>
    <mergeCell ref="M114:N114"/>
    <mergeCell ref="P114:Q114"/>
    <mergeCell ref="T114:V114"/>
    <mergeCell ref="W115:X115"/>
    <mergeCell ref="A149:Y149"/>
    <mergeCell ref="A150:Y150"/>
    <mergeCell ref="A151:Y151"/>
    <mergeCell ref="C152:C157"/>
    <mergeCell ref="D152:D157"/>
    <mergeCell ref="G152:H152"/>
    <mergeCell ref="I152:J152"/>
    <mergeCell ref="K152:L152"/>
    <mergeCell ref="M152:N152"/>
    <mergeCell ref="G115:H115"/>
    <mergeCell ref="K115:L115"/>
    <mergeCell ref="M115:N115"/>
    <mergeCell ref="P115:Q115"/>
    <mergeCell ref="R115:S115"/>
    <mergeCell ref="T115:V115"/>
    <mergeCell ref="P152:Q152"/>
    <mergeCell ref="R152:S152"/>
    <mergeCell ref="T152:V152"/>
    <mergeCell ref="W152:X152"/>
    <mergeCell ref="G153:H153"/>
    <mergeCell ref="I153:J153"/>
    <mergeCell ref="M153:N153"/>
    <mergeCell ref="P153:Q153"/>
    <mergeCell ref="T153:V153"/>
    <mergeCell ref="W154:X154"/>
    <mergeCell ref="A188:Y188"/>
    <mergeCell ref="A189:Y189"/>
    <mergeCell ref="A190:Y190"/>
    <mergeCell ref="C191:C196"/>
    <mergeCell ref="D191:D196"/>
    <mergeCell ref="G191:H191"/>
    <mergeCell ref="I191:J191"/>
    <mergeCell ref="K191:L191"/>
    <mergeCell ref="M191:N191"/>
    <mergeCell ref="G154:H154"/>
    <mergeCell ref="K154:L154"/>
    <mergeCell ref="M154:N154"/>
    <mergeCell ref="P154:Q154"/>
    <mergeCell ref="R154:S154"/>
    <mergeCell ref="T154:V154"/>
    <mergeCell ref="P191:Q191"/>
    <mergeCell ref="R191:S191"/>
    <mergeCell ref="T191:V191"/>
    <mergeCell ref="W191:X191"/>
    <mergeCell ref="G192:H192"/>
    <mergeCell ref="I192:J192"/>
    <mergeCell ref="M192:N192"/>
    <mergeCell ref="P192:Q192"/>
    <mergeCell ref="T192:V192"/>
    <mergeCell ref="W193:X193"/>
    <mergeCell ref="A227:Y227"/>
    <mergeCell ref="A228:Y228"/>
    <mergeCell ref="A229:Y229"/>
    <mergeCell ref="C230:C235"/>
    <mergeCell ref="D230:D235"/>
    <mergeCell ref="G230:H230"/>
    <mergeCell ref="I230:J230"/>
    <mergeCell ref="K230:L230"/>
    <mergeCell ref="M230:N230"/>
    <mergeCell ref="G193:H193"/>
    <mergeCell ref="K193:L193"/>
    <mergeCell ref="M193:N193"/>
    <mergeCell ref="P193:Q193"/>
    <mergeCell ref="R193:S193"/>
    <mergeCell ref="T193:V193"/>
    <mergeCell ref="P230:Q230"/>
    <mergeCell ref="R230:S230"/>
    <mergeCell ref="T230:V230"/>
    <mergeCell ref="W230:X230"/>
    <mergeCell ref="G231:H231"/>
    <mergeCell ref="I231:J231"/>
    <mergeCell ref="M231:N231"/>
    <mergeCell ref="P231:Q231"/>
    <mergeCell ref="T231:V231"/>
    <mergeCell ref="W232:X232"/>
    <mergeCell ref="A266:Y266"/>
    <mergeCell ref="A267:Y267"/>
    <mergeCell ref="A268:Y268"/>
    <mergeCell ref="C269:C274"/>
    <mergeCell ref="D269:D274"/>
    <mergeCell ref="G269:H269"/>
    <mergeCell ref="I269:J269"/>
    <mergeCell ref="K269:L269"/>
    <mergeCell ref="M269:N269"/>
    <mergeCell ref="G232:H232"/>
    <mergeCell ref="K232:L232"/>
    <mergeCell ref="M232:N232"/>
    <mergeCell ref="P232:Q232"/>
    <mergeCell ref="R232:S232"/>
    <mergeCell ref="T232:V232"/>
    <mergeCell ref="P269:Q269"/>
    <mergeCell ref="R269:S269"/>
    <mergeCell ref="T269:V269"/>
    <mergeCell ref="W269:X269"/>
    <mergeCell ref="G270:H270"/>
    <mergeCell ref="I270:J270"/>
    <mergeCell ref="M270:N270"/>
    <mergeCell ref="P270:Q270"/>
    <mergeCell ref="T270:V270"/>
    <mergeCell ref="W271:X271"/>
    <mergeCell ref="A305:Y305"/>
    <mergeCell ref="A306:Y306"/>
    <mergeCell ref="A307:Y307"/>
    <mergeCell ref="C308:C313"/>
    <mergeCell ref="D308:D313"/>
    <mergeCell ref="G308:H308"/>
    <mergeCell ref="I308:J308"/>
    <mergeCell ref="K308:L308"/>
    <mergeCell ref="M308:N308"/>
    <mergeCell ref="G271:H271"/>
    <mergeCell ref="K271:L271"/>
    <mergeCell ref="M271:N271"/>
    <mergeCell ref="P271:Q271"/>
    <mergeCell ref="R271:S271"/>
    <mergeCell ref="T271:V271"/>
    <mergeCell ref="P308:Q308"/>
    <mergeCell ref="R308:S308"/>
    <mergeCell ref="T308:V308"/>
    <mergeCell ref="W308:X308"/>
    <mergeCell ref="G309:H309"/>
    <mergeCell ref="I309:J309"/>
    <mergeCell ref="M309:N309"/>
    <mergeCell ref="P309:Q309"/>
    <mergeCell ref="T309:V309"/>
    <mergeCell ref="W310:X310"/>
    <mergeCell ref="A340:Y340"/>
    <mergeCell ref="A341:Y341"/>
    <mergeCell ref="A342:Y342"/>
    <mergeCell ref="C343:C348"/>
    <mergeCell ref="D343:D348"/>
    <mergeCell ref="G343:H343"/>
    <mergeCell ref="I343:J343"/>
    <mergeCell ref="K343:L343"/>
    <mergeCell ref="M343:N343"/>
    <mergeCell ref="G310:H310"/>
    <mergeCell ref="K310:L310"/>
    <mergeCell ref="M310:N310"/>
    <mergeCell ref="P310:Q310"/>
    <mergeCell ref="R310:S310"/>
    <mergeCell ref="T310:V310"/>
    <mergeCell ref="W345:X345"/>
    <mergeCell ref="G345:H345"/>
    <mergeCell ref="K345:L345"/>
    <mergeCell ref="M345:N345"/>
    <mergeCell ref="P345:Q345"/>
    <mergeCell ref="R345:S345"/>
    <mergeCell ref="T345:V345"/>
    <mergeCell ref="P343:Q343"/>
    <mergeCell ref="R343:S343"/>
    <mergeCell ref="T343:V343"/>
    <mergeCell ref="W343:X343"/>
    <mergeCell ref="G344:H344"/>
    <mergeCell ref="I344:J344"/>
    <mergeCell ref="M344:N344"/>
    <mergeCell ref="P344:Q344"/>
    <mergeCell ref="T344:V344"/>
  </mergeCells>
  <pageMargins left="0.15748031496062992" right="0.15748031496062992" top="0.23622047244094491" bottom="0.19685039370078741" header="0.27559055118110237" footer="0.15748031496062992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0"/>
  <sheetViews>
    <sheetView topLeftCell="A414" zoomScaleNormal="100" workbookViewId="0">
      <selection activeCell="H12" sqref="H12"/>
    </sheetView>
  </sheetViews>
  <sheetFormatPr defaultRowHeight="14.25" x14ac:dyDescent="0.2"/>
  <cols>
    <col min="1" max="1" width="11.625" customWidth="1"/>
    <col min="2" max="2" width="24.25" customWidth="1"/>
    <col min="3" max="3" width="6.375" customWidth="1"/>
    <col min="4" max="4" width="16.5" customWidth="1"/>
    <col min="5" max="5" width="14.375" customWidth="1"/>
    <col min="6" max="6" width="6.875" customWidth="1"/>
    <col min="7" max="7" width="13" customWidth="1"/>
    <col min="8" max="8" width="17.875" customWidth="1"/>
    <col min="9" max="9" width="15.125" customWidth="1"/>
    <col min="10" max="10" width="22" customWidth="1"/>
    <col min="11" max="11" width="13.625" customWidth="1"/>
    <col min="12" max="12" width="7.625" customWidth="1"/>
    <col min="13" max="13" width="6.25" customWidth="1"/>
  </cols>
  <sheetData>
    <row r="1" spans="1:8" ht="29.25" x14ac:dyDescent="0.6">
      <c r="A1" s="314" t="s">
        <v>398</v>
      </c>
      <c r="B1" s="315"/>
      <c r="C1" s="316"/>
      <c r="D1" s="317"/>
      <c r="E1" s="318" t="s">
        <v>399</v>
      </c>
      <c r="F1" s="319"/>
    </row>
    <row r="2" spans="1:8" ht="29.25" x14ac:dyDescent="0.6">
      <c r="A2" s="320" t="s">
        <v>400</v>
      </c>
      <c r="B2" s="321"/>
      <c r="C2" s="322"/>
      <c r="D2" s="323"/>
      <c r="E2" s="324" t="s">
        <v>401</v>
      </c>
      <c r="F2" s="325"/>
    </row>
    <row r="3" spans="1:8" ht="29.25" x14ac:dyDescent="0.6">
      <c r="A3" s="326"/>
      <c r="B3" s="327"/>
      <c r="C3" s="328"/>
      <c r="D3" s="329"/>
      <c r="E3" s="330" t="s">
        <v>13</v>
      </c>
      <c r="F3" s="331"/>
    </row>
    <row r="4" spans="1:8" ht="23.25" x14ac:dyDescent="0.5">
      <c r="A4" s="614"/>
      <c r="B4" s="368"/>
      <c r="C4" s="368"/>
      <c r="D4" s="319"/>
      <c r="E4" s="417" t="s">
        <v>402</v>
      </c>
      <c r="F4" s="319" t="s">
        <v>9</v>
      </c>
    </row>
    <row r="5" spans="1:8" ht="23.25" x14ac:dyDescent="0.5">
      <c r="A5" s="335" t="s">
        <v>674</v>
      </c>
      <c r="B5" s="615"/>
      <c r="C5" s="336"/>
      <c r="D5" s="337"/>
      <c r="E5" s="338">
        <v>126004.95</v>
      </c>
      <c r="F5" s="337"/>
    </row>
    <row r="6" spans="1:8" ht="23.25" x14ac:dyDescent="0.5">
      <c r="A6" s="339" t="s">
        <v>403</v>
      </c>
      <c r="B6" s="615"/>
      <c r="C6" s="336"/>
      <c r="D6" s="337"/>
      <c r="E6" s="338">
        <v>7000000</v>
      </c>
      <c r="F6" s="337"/>
    </row>
    <row r="7" spans="1:8" ht="23.25" x14ac:dyDescent="0.5">
      <c r="A7" s="340" t="s">
        <v>404</v>
      </c>
      <c r="B7" s="336"/>
      <c r="C7" s="336"/>
      <c r="D7" s="616"/>
      <c r="E7" s="336"/>
      <c r="F7" s="337"/>
    </row>
    <row r="8" spans="1:8" ht="23.25" x14ac:dyDescent="0.5">
      <c r="A8" s="610"/>
      <c r="B8" s="342"/>
      <c r="C8" s="342"/>
      <c r="D8" s="343"/>
      <c r="E8" s="336"/>
      <c r="F8" s="337"/>
      <c r="H8">
        <v>1</v>
      </c>
    </row>
    <row r="9" spans="1:8" ht="23.25" x14ac:dyDescent="0.5">
      <c r="A9" s="344" t="s">
        <v>405</v>
      </c>
      <c r="B9" s="342" t="s">
        <v>406</v>
      </c>
      <c r="C9" s="342"/>
      <c r="D9" s="343" t="s">
        <v>402</v>
      </c>
      <c r="E9" s="336"/>
      <c r="F9" s="337"/>
    </row>
    <row r="10" spans="1:8" ht="23.25" x14ac:dyDescent="0.5">
      <c r="A10" s="345" t="s">
        <v>499</v>
      </c>
      <c r="B10" s="346">
        <v>6898412</v>
      </c>
      <c r="C10" s="347"/>
      <c r="D10" s="348">
        <v>1000</v>
      </c>
      <c r="E10" s="336"/>
      <c r="F10" s="337"/>
    </row>
    <row r="11" spans="1:8" ht="23.25" x14ac:dyDescent="0.5">
      <c r="A11" s="349" t="s">
        <v>675</v>
      </c>
      <c r="B11" s="346">
        <v>4103302</v>
      </c>
      <c r="C11" s="347"/>
      <c r="D11" s="348">
        <v>3</v>
      </c>
      <c r="E11" s="336"/>
      <c r="F11" s="337"/>
    </row>
    <row r="12" spans="1:8" ht="23.25" x14ac:dyDescent="0.5">
      <c r="A12" s="349" t="s">
        <v>676</v>
      </c>
      <c r="B12" s="346">
        <v>13230209</v>
      </c>
      <c r="C12" s="347"/>
      <c r="D12" s="348">
        <v>1730</v>
      </c>
      <c r="E12" s="353"/>
      <c r="F12" s="337"/>
    </row>
    <row r="13" spans="1:8" ht="23.25" x14ac:dyDescent="0.5">
      <c r="A13" s="349"/>
      <c r="B13" s="346">
        <v>13230247</v>
      </c>
      <c r="C13" s="347"/>
      <c r="D13" s="348">
        <v>3500</v>
      </c>
      <c r="E13" s="353"/>
      <c r="F13" s="337"/>
    </row>
    <row r="14" spans="1:8" ht="23.25" x14ac:dyDescent="0.5">
      <c r="A14" s="349" t="s">
        <v>677</v>
      </c>
      <c r="B14" s="617">
        <v>13230279</v>
      </c>
      <c r="C14" s="618"/>
      <c r="D14" s="619">
        <v>3500</v>
      </c>
      <c r="E14" s="353"/>
      <c r="F14" s="337"/>
    </row>
    <row r="15" spans="1:8" ht="23.25" x14ac:dyDescent="0.5">
      <c r="A15" s="349"/>
      <c r="B15" s="617"/>
      <c r="C15" s="618"/>
      <c r="D15" s="619"/>
      <c r="E15" s="353"/>
      <c r="F15" s="337"/>
    </row>
    <row r="16" spans="1:8" ht="23.25" x14ac:dyDescent="0.5">
      <c r="A16" s="349"/>
      <c r="B16" s="617"/>
      <c r="C16" s="618"/>
      <c r="D16" s="619"/>
      <c r="E16" s="353"/>
      <c r="F16" s="337"/>
    </row>
    <row r="17" spans="1:6" ht="23.25" x14ac:dyDescent="0.5">
      <c r="A17" s="349"/>
      <c r="B17" s="617"/>
      <c r="C17" s="618"/>
      <c r="D17" s="619"/>
      <c r="E17" s="353"/>
      <c r="F17" s="337"/>
    </row>
    <row r="18" spans="1:6" ht="23.25" x14ac:dyDescent="0.5">
      <c r="A18" s="349"/>
      <c r="B18" s="346"/>
      <c r="C18" s="347"/>
      <c r="D18" s="348"/>
      <c r="E18" s="353"/>
      <c r="F18" s="337"/>
    </row>
    <row r="19" spans="1:6" s="418" customFormat="1" ht="24" thickBot="1" x14ac:dyDescent="0.55000000000000004">
      <c r="A19" s="345"/>
      <c r="B19" s="346"/>
      <c r="C19" s="356" t="s">
        <v>151</v>
      </c>
      <c r="D19" s="620">
        <f>SUM(D10:D18)</f>
        <v>9733</v>
      </c>
      <c r="E19" s="353">
        <f>+D19</f>
        <v>9733</v>
      </c>
      <c r="F19" s="337"/>
    </row>
    <row r="20" spans="1:6" s="418" customFormat="1" ht="24" thickTop="1" x14ac:dyDescent="0.5">
      <c r="A20" s="357" t="s">
        <v>407</v>
      </c>
      <c r="B20" s="336"/>
      <c r="C20" s="342"/>
      <c r="D20" s="348"/>
      <c r="E20" s="353"/>
      <c r="F20" s="337"/>
    </row>
    <row r="21" spans="1:6" s="418" customFormat="1" ht="23.25" x14ac:dyDescent="0.5">
      <c r="A21" s="339" t="s">
        <v>678</v>
      </c>
      <c r="B21" s="615"/>
      <c r="C21" s="336"/>
      <c r="D21" s="337"/>
      <c r="E21" s="338">
        <v>23473.95</v>
      </c>
      <c r="F21" s="337"/>
    </row>
    <row r="22" spans="1:6" s="418" customFormat="1" ht="23.25" x14ac:dyDescent="0.5">
      <c r="A22" s="340" t="s">
        <v>408</v>
      </c>
      <c r="B22" s="336"/>
      <c r="C22" s="336"/>
      <c r="D22" s="337"/>
      <c r="E22" s="419"/>
      <c r="F22" s="337"/>
    </row>
    <row r="23" spans="1:6" s="418" customFormat="1" ht="23.25" x14ac:dyDescent="0.5">
      <c r="A23" s="890" t="s">
        <v>679</v>
      </c>
      <c r="B23" s="891"/>
      <c r="C23" s="891"/>
      <c r="D23" s="892"/>
      <c r="E23" s="361">
        <v>2</v>
      </c>
      <c r="F23" s="616"/>
    </row>
    <row r="24" spans="1:6" s="418" customFormat="1" ht="24" thickBot="1" x14ac:dyDescent="0.55000000000000004">
      <c r="A24" s="359" t="s">
        <v>611</v>
      </c>
      <c r="B24" s="324"/>
      <c r="C24" s="371"/>
      <c r="D24" s="355"/>
      <c r="E24" s="362">
        <f>+E5+E6-E19-E23-E21</f>
        <v>7092796</v>
      </c>
      <c r="F24" s="363"/>
    </row>
    <row r="25" spans="1:6" s="418" customFormat="1" ht="24" thickTop="1" x14ac:dyDescent="0.5">
      <c r="A25" s="364"/>
      <c r="B25" s="365"/>
      <c r="C25" s="365"/>
      <c r="D25" s="366"/>
      <c r="E25" s="365"/>
      <c r="F25" s="366"/>
    </row>
    <row r="26" spans="1:6" s="418" customFormat="1" ht="23.25" x14ac:dyDescent="0.5">
      <c r="A26" s="367" t="s">
        <v>409</v>
      </c>
      <c r="B26" s="368"/>
      <c r="C26" s="319"/>
      <c r="D26" s="369" t="s">
        <v>410</v>
      </c>
      <c r="E26" s="336"/>
      <c r="F26" s="337"/>
    </row>
    <row r="27" spans="1:6" s="418" customFormat="1" ht="23.25" x14ac:dyDescent="0.5">
      <c r="A27" s="335" t="s">
        <v>500</v>
      </c>
      <c r="B27" s="336"/>
      <c r="C27" s="336"/>
      <c r="D27" s="335" t="s">
        <v>501</v>
      </c>
      <c r="E27" s="336"/>
      <c r="F27" s="337"/>
    </row>
    <row r="28" spans="1:6" s="418" customFormat="1" ht="23.25" x14ac:dyDescent="0.5">
      <c r="A28" s="335" t="s">
        <v>502</v>
      </c>
      <c r="B28" s="336"/>
      <c r="C28" s="337"/>
      <c r="D28" s="335" t="s">
        <v>502</v>
      </c>
      <c r="E28" s="336"/>
      <c r="F28" s="337"/>
    </row>
    <row r="29" spans="1:6" s="418" customFormat="1" ht="23.25" x14ac:dyDescent="0.5">
      <c r="A29" s="335" t="s">
        <v>411</v>
      </c>
      <c r="B29" s="336"/>
      <c r="C29" s="337"/>
      <c r="D29" s="335" t="s">
        <v>411</v>
      </c>
      <c r="E29" s="336"/>
      <c r="F29" s="337"/>
    </row>
    <row r="30" spans="1:6" s="418" customFormat="1" ht="23.25" x14ac:dyDescent="0.5">
      <c r="A30" s="335" t="s">
        <v>680</v>
      </c>
      <c r="B30" s="336"/>
      <c r="C30" s="336"/>
      <c r="D30" s="335" t="s">
        <v>680</v>
      </c>
      <c r="E30" s="336"/>
      <c r="F30" s="337"/>
    </row>
    <row r="31" spans="1:6" s="418" customFormat="1" ht="23.25" x14ac:dyDescent="0.5">
      <c r="A31" s="364"/>
      <c r="B31" s="365"/>
      <c r="C31" s="370"/>
      <c r="D31" s="365"/>
      <c r="E31" s="365"/>
      <c r="F31" s="366"/>
    </row>
    <row r="32" spans="1:6" s="418" customFormat="1" ht="23.25" x14ac:dyDescent="0.5">
      <c r="A32" s="336"/>
      <c r="B32" s="336"/>
      <c r="C32" s="373"/>
      <c r="D32" s="336"/>
      <c r="E32" s="336"/>
      <c r="F32" s="336"/>
    </row>
    <row r="33" spans="1:8" ht="29.25" x14ac:dyDescent="0.6">
      <c r="A33" s="314" t="s">
        <v>398</v>
      </c>
      <c r="B33" s="315"/>
      <c r="C33" s="316"/>
      <c r="D33" s="317"/>
      <c r="E33" s="318" t="s">
        <v>399</v>
      </c>
      <c r="F33" s="319"/>
    </row>
    <row r="34" spans="1:8" ht="29.25" x14ac:dyDescent="0.6">
      <c r="A34" s="320" t="s">
        <v>400</v>
      </c>
      <c r="B34" s="321"/>
      <c r="C34" s="322"/>
      <c r="D34" s="323"/>
      <c r="E34" s="324" t="s">
        <v>401</v>
      </c>
      <c r="F34" s="325"/>
    </row>
    <row r="35" spans="1:8" ht="29.25" x14ac:dyDescent="0.6">
      <c r="A35" s="326"/>
      <c r="B35" s="327"/>
      <c r="C35" s="328"/>
      <c r="D35" s="329"/>
      <c r="E35" s="330" t="s">
        <v>13</v>
      </c>
      <c r="F35" s="331"/>
    </row>
    <row r="36" spans="1:8" ht="23.25" x14ac:dyDescent="0.5">
      <c r="A36" s="614"/>
      <c r="B36" s="368"/>
      <c r="C36" s="368"/>
      <c r="D36" s="319"/>
      <c r="E36" s="417" t="s">
        <v>402</v>
      </c>
      <c r="F36" s="319" t="s">
        <v>9</v>
      </c>
    </row>
    <row r="37" spans="1:8" ht="23.25" x14ac:dyDescent="0.5">
      <c r="A37" s="335" t="s">
        <v>681</v>
      </c>
      <c r="B37" s="615"/>
      <c r="C37" s="336"/>
      <c r="D37" s="337"/>
      <c r="E37" s="338">
        <v>8551467.1400000006</v>
      </c>
      <c r="F37" s="337"/>
    </row>
    <row r="38" spans="1:8" ht="23.25" x14ac:dyDescent="0.5">
      <c r="A38" s="339" t="s">
        <v>403</v>
      </c>
      <c r="B38" s="615"/>
      <c r="C38" s="336"/>
      <c r="D38" s="337"/>
      <c r="E38" s="338"/>
      <c r="F38" s="337"/>
    </row>
    <row r="39" spans="1:8" ht="23.25" x14ac:dyDescent="0.5">
      <c r="A39" s="340" t="s">
        <v>404</v>
      </c>
      <c r="B39" s="336"/>
      <c r="C39" s="336"/>
      <c r="D39" s="616"/>
      <c r="E39" s="336"/>
      <c r="F39" s="337"/>
    </row>
    <row r="40" spans="1:8" ht="23.25" x14ac:dyDescent="0.5">
      <c r="A40" s="610"/>
      <c r="B40" s="342"/>
      <c r="C40" s="342"/>
      <c r="D40" s="343"/>
      <c r="E40" s="336"/>
      <c r="F40" s="337"/>
      <c r="H40">
        <v>2</v>
      </c>
    </row>
    <row r="41" spans="1:8" ht="23.25" x14ac:dyDescent="0.5">
      <c r="A41" s="344" t="s">
        <v>405</v>
      </c>
      <c r="B41" s="342" t="s">
        <v>406</v>
      </c>
      <c r="C41" s="342"/>
      <c r="D41" s="343" t="s">
        <v>402</v>
      </c>
      <c r="E41" s="336"/>
      <c r="F41" s="337"/>
    </row>
    <row r="42" spans="1:8" ht="23.25" x14ac:dyDescent="0.5">
      <c r="A42" s="345" t="s">
        <v>499</v>
      </c>
      <c r="B42" s="346">
        <v>6898412</v>
      </c>
      <c r="C42" s="347"/>
      <c r="D42" s="348">
        <v>1000</v>
      </c>
      <c r="E42" s="336"/>
      <c r="F42" s="337"/>
    </row>
    <row r="43" spans="1:8" ht="23.25" x14ac:dyDescent="0.5">
      <c r="A43" s="349" t="s">
        <v>675</v>
      </c>
      <c r="B43" s="346">
        <v>4103302</v>
      </c>
      <c r="C43" s="347"/>
      <c r="D43" s="348">
        <v>3</v>
      </c>
      <c r="E43" s="336"/>
      <c r="F43" s="337"/>
    </row>
    <row r="44" spans="1:8" ht="23.25" x14ac:dyDescent="0.5">
      <c r="A44" s="349" t="s">
        <v>676</v>
      </c>
      <c r="B44" s="346">
        <v>13230209</v>
      </c>
      <c r="C44" s="347"/>
      <c r="D44" s="348">
        <v>1730</v>
      </c>
      <c r="E44" s="353"/>
      <c r="F44" s="337"/>
    </row>
    <row r="45" spans="1:8" ht="23.25" x14ac:dyDescent="0.5">
      <c r="A45" s="349"/>
      <c r="B45" s="346"/>
      <c r="C45" s="347"/>
      <c r="D45" s="348"/>
      <c r="E45" s="353"/>
      <c r="F45" s="337"/>
    </row>
    <row r="46" spans="1:8" ht="23.25" x14ac:dyDescent="0.5">
      <c r="A46" s="349"/>
      <c r="B46" s="617"/>
      <c r="C46" s="618"/>
      <c r="D46" s="619"/>
      <c r="E46" s="353"/>
      <c r="F46" s="337"/>
    </row>
    <row r="47" spans="1:8" ht="23.25" x14ac:dyDescent="0.5">
      <c r="A47" s="349"/>
      <c r="B47" s="346"/>
      <c r="C47" s="347"/>
      <c r="D47" s="348"/>
      <c r="E47" s="353"/>
      <c r="F47" s="337"/>
    </row>
    <row r="48" spans="1:8" s="418" customFormat="1" ht="24" thickBot="1" x14ac:dyDescent="0.55000000000000004">
      <c r="A48" s="345"/>
      <c r="B48" s="346"/>
      <c r="C48" s="356" t="s">
        <v>151</v>
      </c>
      <c r="D48" s="620">
        <f>SUM(D42:D47)</f>
        <v>2733</v>
      </c>
      <c r="E48" s="353">
        <f>+D48</f>
        <v>2733</v>
      </c>
      <c r="F48" s="337"/>
    </row>
    <row r="49" spans="1:6" s="418" customFormat="1" ht="24" thickTop="1" x14ac:dyDescent="0.5">
      <c r="A49" s="357" t="s">
        <v>407</v>
      </c>
      <c r="B49" s="336"/>
      <c r="C49" s="342"/>
      <c r="D49" s="348"/>
      <c r="E49" s="353"/>
      <c r="F49" s="337"/>
    </row>
    <row r="50" spans="1:6" s="418" customFormat="1" ht="23.25" x14ac:dyDescent="0.5">
      <c r="A50" s="339" t="s">
        <v>678</v>
      </c>
      <c r="B50" s="615"/>
      <c r="C50" s="336"/>
      <c r="D50" s="337"/>
      <c r="E50" s="338">
        <v>23473.95</v>
      </c>
      <c r="F50" s="337"/>
    </row>
    <row r="51" spans="1:6" s="418" customFormat="1" ht="23.25" x14ac:dyDescent="0.5">
      <c r="A51" s="340" t="s">
        <v>408</v>
      </c>
      <c r="B51" s="336"/>
      <c r="C51" s="336"/>
      <c r="D51" s="337"/>
      <c r="E51" s="419"/>
      <c r="F51" s="337"/>
    </row>
    <row r="52" spans="1:6" s="418" customFormat="1" ht="23.25" x14ac:dyDescent="0.5">
      <c r="A52" s="890" t="s">
        <v>679</v>
      </c>
      <c r="B52" s="891"/>
      <c r="C52" s="891"/>
      <c r="D52" s="892"/>
      <c r="E52" s="361">
        <v>2</v>
      </c>
      <c r="F52" s="616"/>
    </row>
    <row r="53" spans="1:6" s="418" customFormat="1" ht="24" thickBot="1" x14ac:dyDescent="0.55000000000000004">
      <c r="A53" s="359" t="s">
        <v>682</v>
      </c>
      <c r="B53" s="324"/>
      <c r="C53" s="371"/>
      <c r="D53" s="355"/>
      <c r="E53" s="362">
        <f>+E37+E38-E48-E52-E50</f>
        <v>8525258.1900000013</v>
      </c>
      <c r="F53" s="363"/>
    </row>
    <row r="54" spans="1:6" s="418" customFormat="1" ht="24" thickTop="1" x14ac:dyDescent="0.5">
      <c r="A54" s="364"/>
      <c r="B54" s="365"/>
      <c r="C54" s="365"/>
      <c r="D54" s="366"/>
      <c r="E54" s="365"/>
      <c r="F54" s="366"/>
    </row>
    <row r="55" spans="1:6" s="418" customFormat="1" ht="23.25" x14ac:dyDescent="0.5">
      <c r="A55" s="367" t="s">
        <v>409</v>
      </c>
      <c r="B55" s="368"/>
      <c r="C55" s="319"/>
      <c r="D55" s="369" t="s">
        <v>410</v>
      </c>
      <c r="E55" s="336"/>
      <c r="F55" s="337"/>
    </row>
    <row r="56" spans="1:6" s="418" customFormat="1" ht="23.25" x14ac:dyDescent="0.5">
      <c r="A56" s="335" t="s">
        <v>500</v>
      </c>
      <c r="B56" s="336"/>
      <c r="C56" s="336"/>
      <c r="D56" s="335" t="s">
        <v>501</v>
      </c>
      <c r="E56" s="336"/>
      <c r="F56" s="337"/>
    </row>
    <row r="57" spans="1:6" s="418" customFormat="1" ht="23.25" x14ac:dyDescent="0.5">
      <c r="A57" s="335" t="s">
        <v>502</v>
      </c>
      <c r="B57" s="336"/>
      <c r="C57" s="337"/>
      <c r="D57" s="335" t="s">
        <v>502</v>
      </c>
      <c r="E57" s="336"/>
      <c r="F57" s="337"/>
    </row>
    <row r="58" spans="1:6" s="418" customFormat="1" ht="23.25" x14ac:dyDescent="0.5">
      <c r="A58" s="335" t="s">
        <v>411</v>
      </c>
      <c r="B58" s="336"/>
      <c r="C58" s="337"/>
      <c r="D58" s="335" t="s">
        <v>411</v>
      </c>
      <c r="E58" s="336"/>
      <c r="F58" s="337"/>
    </row>
    <row r="59" spans="1:6" s="418" customFormat="1" ht="23.25" x14ac:dyDescent="0.5">
      <c r="A59" s="335" t="s">
        <v>683</v>
      </c>
      <c r="B59" s="336"/>
      <c r="C59" s="336"/>
      <c r="D59" s="335" t="s">
        <v>683</v>
      </c>
      <c r="E59" s="336"/>
      <c r="F59" s="337"/>
    </row>
    <row r="60" spans="1:6" s="418" customFormat="1" ht="23.25" x14ac:dyDescent="0.5">
      <c r="A60" s="364"/>
      <c r="B60" s="365"/>
      <c r="C60" s="370"/>
      <c r="D60" s="365"/>
      <c r="E60" s="365"/>
      <c r="F60" s="366"/>
    </row>
    <row r="68" spans="1:8" ht="29.25" x14ac:dyDescent="0.6">
      <c r="A68" s="314" t="s">
        <v>398</v>
      </c>
      <c r="B68" s="315"/>
      <c r="C68" s="316"/>
      <c r="D68" s="317"/>
      <c r="E68" s="318" t="s">
        <v>399</v>
      </c>
      <c r="F68" s="319"/>
    </row>
    <row r="69" spans="1:8" ht="29.25" x14ac:dyDescent="0.6">
      <c r="A69" s="320" t="s">
        <v>400</v>
      </c>
      <c r="B69" s="321"/>
      <c r="C69" s="322"/>
      <c r="D69" s="323"/>
      <c r="E69" s="324" t="s">
        <v>401</v>
      </c>
      <c r="F69" s="325"/>
    </row>
    <row r="70" spans="1:8" ht="29.25" x14ac:dyDescent="0.6">
      <c r="A70" s="326"/>
      <c r="B70" s="327"/>
      <c r="C70" s="328"/>
      <c r="D70" s="329"/>
      <c r="E70" s="330" t="s">
        <v>13</v>
      </c>
      <c r="F70" s="331"/>
    </row>
    <row r="71" spans="1:8" ht="23.25" x14ac:dyDescent="0.5">
      <c r="A71" s="614"/>
      <c r="B71" s="368"/>
      <c r="C71" s="368"/>
      <c r="D71" s="319"/>
      <c r="E71" s="417" t="s">
        <v>402</v>
      </c>
      <c r="F71" s="319" t="s">
        <v>9</v>
      </c>
    </row>
    <row r="72" spans="1:8" ht="23.25" x14ac:dyDescent="0.5">
      <c r="A72" s="335" t="s">
        <v>684</v>
      </c>
      <c r="B72" s="615"/>
      <c r="C72" s="336"/>
      <c r="D72" s="337"/>
      <c r="E72" s="338">
        <v>7605924.1399999997</v>
      </c>
      <c r="F72" s="337"/>
    </row>
    <row r="73" spans="1:8" ht="23.25" x14ac:dyDescent="0.5">
      <c r="A73" s="339" t="s">
        <v>403</v>
      </c>
      <c r="B73" s="615"/>
      <c r="C73" s="336"/>
      <c r="D73" s="337"/>
      <c r="E73" s="338"/>
      <c r="F73" s="337"/>
    </row>
    <row r="74" spans="1:8" ht="23.25" x14ac:dyDescent="0.5">
      <c r="A74" s="340" t="s">
        <v>404</v>
      </c>
      <c r="B74" s="336"/>
      <c r="C74" s="336"/>
      <c r="D74" s="616"/>
      <c r="E74" s="336"/>
      <c r="F74" s="337"/>
    </row>
    <row r="75" spans="1:8" ht="23.25" x14ac:dyDescent="0.5">
      <c r="A75" s="610"/>
      <c r="B75" s="342"/>
      <c r="C75" s="342"/>
      <c r="D75" s="343"/>
      <c r="E75" s="336"/>
      <c r="F75" s="337"/>
      <c r="H75">
        <v>3</v>
      </c>
    </row>
    <row r="76" spans="1:8" ht="23.25" x14ac:dyDescent="0.5">
      <c r="A76" s="344" t="s">
        <v>405</v>
      </c>
      <c r="B76" s="342" t="s">
        <v>406</v>
      </c>
      <c r="C76" s="342"/>
      <c r="D76" s="343" t="s">
        <v>402</v>
      </c>
      <c r="E76" s="336"/>
      <c r="F76" s="337"/>
    </row>
    <row r="77" spans="1:8" ht="23.25" x14ac:dyDescent="0.5">
      <c r="A77" s="345" t="s">
        <v>499</v>
      </c>
      <c r="B77" s="346">
        <v>6898412</v>
      </c>
      <c r="C77" s="347"/>
      <c r="D77" s="348">
        <v>1000</v>
      </c>
      <c r="E77" s="336"/>
      <c r="F77" s="337"/>
    </row>
    <row r="78" spans="1:8" ht="23.25" x14ac:dyDescent="0.5">
      <c r="A78" s="349" t="s">
        <v>675</v>
      </c>
      <c r="B78" s="346">
        <v>4103302</v>
      </c>
      <c r="C78" s="347"/>
      <c r="D78" s="348">
        <v>3</v>
      </c>
      <c r="E78" s="336"/>
      <c r="F78" s="337"/>
    </row>
    <row r="79" spans="1:8" ht="23.25" x14ac:dyDescent="0.5">
      <c r="A79" s="349" t="s">
        <v>676</v>
      </c>
      <c r="B79" s="346">
        <v>13230209</v>
      </c>
      <c r="C79" s="347"/>
      <c r="D79" s="348">
        <v>1730</v>
      </c>
      <c r="E79" s="353"/>
      <c r="F79" s="337"/>
    </row>
    <row r="80" spans="1:8" ht="23.25" x14ac:dyDescent="0.5">
      <c r="A80" s="349">
        <v>21537</v>
      </c>
      <c r="B80" s="346">
        <v>13230344</v>
      </c>
      <c r="C80" s="347"/>
      <c r="D80" s="348">
        <v>3764.49</v>
      </c>
      <c r="E80" s="353"/>
      <c r="F80" s="337"/>
    </row>
    <row r="81" spans="1:6" ht="23.25" x14ac:dyDescent="0.5">
      <c r="A81" s="349">
        <v>21541</v>
      </c>
      <c r="B81" s="617">
        <v>13230348</v>
      </c>
      <c r="C81" s="618"/>
      <c r="D81" s="619">
        <v>11604</v>
      </c>
      <c r="E81" s="353"/>
      <c r="F81" s="337"/>
    </row>
    <row r="82" spans="1:6" ht="23.25" x14ac:dyDescent="0.5">
      <c r="A82" s="349"/>
      <c r="B82" s="346"/>
      <c r="C82" s="347"/>
      <c r="D82" s="348"/>
      <c r="E82" s="353"/>
      <c r="F82" s="337"/>
    </row>
    <row r="83" spans="1:6" s="418" customFormat="1" ht="24" thickBot="1" x14ac:dyDescent="0.55000000000000004">
      <c r="A83" s="345"/>
      <c r="B83" s="346"/>
      <c r="C83" s="356" t="s">
        <v>151</v>
      </c>
      <c r="D83" s="620">
        <f>SUM(D77:D82)</f>
        <v>18101.489999999998</v>
      </c>
      <c r="E83" s="353">
        <f>+D83</f>
        <v>18101.489999999998</v>
      </c>
      <c r="F83" s="337"/>
    </row>
    <row r="84" spans="1:6" s="418" customFormat="1" ht="24" thickTop="1" x14ac:dyDescent="0.5">
      <c r="A84" s="357" t="s">
        <v>407</v>
      </c>
      <c r="B84" s="336"/>
      <c r="C84" s="342"/>
      <c r="D84" s="348"/>
      <c r="E84" s="353"/>
      <c r="F84" s="337"/>
    </row>
    <row r="85" spans="1:6" s="418" customFormat="1" ht="23.25" x14ac:dyDescent="0.5">
      <c r="A85" s="339" t="s">
        <v>678</v>
      </c>
      <c r="B85" s="615"/>
      <c r="C85" s="336"/>
      <c r="D85" s="337"/>
      <c r="E85" s="338">
        <v>23473.95</v>
      </c>
      <c r="F85" s="337"/>
    </row>
    <row r="86" spans="1:6" s="418" customFormat="1" ht="23.25" x14ac:dyDescent="0.5">
      <c r="A86" s="340" t="s">
        <v>408</v>
      </c>
      <c r="B86" s="336"/>
      <c r="C86" s="336"/>
      <c r="D86" s="337"/>
      <c r="E86" s="419"/>
      <c r="F86" s="337"/>
    </row>
    <row r="87" spans="1:6" s="418" customFormat="1" ht="23.25" x14ac:dyDescent="0.5">
      <c r="A87" s="890" t="s">
        <v>679</v>
      </c>
      <c r="B87" s="891"/>
      <c r="C87" s="891"/>
      <c r="D87" s="892"/>
      <c r="E87" s="361">
        <v>2</v>
      </c>
      <c r="F87" s="616"/>
    </row>
    <row r="88" spans="1:6" s="418" customFormat="1" ht="24" thickBot="1" x14ac:dyDescent="0.55000000000000004">
      <c r="A88" s="359" t="s">
        <v>685</v>
      </c>
      <c r="B88" s="324"/>
      <c r="C88" s="371"/>
      <c r="D88" s="355"/>
      <c r="E88" s="362">
        <f>+E72+E73-E83-E87-E85</f>
        <v>7564346.6999999993</v>
      </c>
      <c r="F88" s="363"/>
    </row>
    <row r="89" spans="1:6" s="418" customFormat="1" ht="24" thickTop="1" x14ac:dyDescent="0.5">
      <c r="A89" s="364"/>
      <c r="B89" s="365"/>
      <c r="C89" s="365"/>
      <c r="D89" s="366"/>
      <c r="E89" s="365"/>
      <c r="F89" s="366"/>
    </row>
    <row r="90" spans="1:6" s="418" customFormat="1" ht="23.25" x14ac:dyDescent="0.5">
      <c r="A90" s="367" t="s">
        <v>409</v>
      </c>
      <c r="B90" s="368"/>
      <c r="C90" s="319"/>
      <c r="D90" s="369" t="s">
        <v>410</v>
      </c>
      <c r="E90" s="336"/>
      <c r="F90" s="337"/>
    </row>
    <row r="91" spans="1:6" s="418" customFormat="1" ht="23.25" x14ac:dyDescent="0.5">
      <c r="A91" s="335" t="s">
        <v>500</v>
      </c>
      <c r="B91" s="336"/>
      <c r="C91" s="336"/>
      <c r="D91" s="335" t="s">
        <v>501</v>
      </c>
      <c r="E91" s="336"/>
      <c r="F91" s="337"/>
    </row>
    <row r="92" spans="1:6" s="418" customFormat="1" ht="23.25" x14ac:dyDescent="0.5">
      <c r="A92" s="335" t="s">
        <v>502</v>
      </c>
      <c r="B92" s="336"/>
      <c r="C92" s="337"/>
      <c r="D92" s="335" t="s">
        <v>502</v>
      </c>
      <c r="E92" s="336"/>
      <c r="F92" s="337"/>
    </row>
    <row r="93" spans="1:6" s="418" customFormat="1" ht="23.25" x14ac:dyDescent="0.5">
      <c r="A93" s="335" t="s">
        <v>411</v>
      </c>
      <c r="B93" s="336"/>
      <c r="C93" s="337"/>
      <c r="D93" s="335" t="s">
        <v>411</v>
      </c>
      <c r="E93" s="336"/>
      <c r="F93" s="337"/>
    </row>
    <row r="94" spans="1:6" s="418" customFormat="1" ht="23.25" x14ac:dyDescent="0.5">
      <c r="A94" s="335" t="s">
        <v>686</v>
      </c>
      <c r="B94" s="336"/>
      <c r="C94" s="336"/>
      <c r="D94" s="335" t="s">
        <v>686</v>
      </c>
      <c r="E94" s="336"/>
      <c r="F94" s="337"/>
    </row>
    <row r="95" spans="1:6" s="418" customFormat="1" ht="23.25" x14ac:dyDescent="0.5">
      <c r="A95" s="364"/>
      <c r="B95" s="365"/>
      <c r="C95" s="370"/>
      <c r="D95" s="365"/>
      <c r="E95" s="365"/>
      <c r="F95" s="366"/>
    </row>
    <row r="102" spans="1:8" ht="29.25" x14ac:dyDescent="0.6">
      <c r="A102" s="314" t="s">
        <v>398</v>
      </c>
      <c r="B102" s="315"/>
      <c r="C102" s="316"/>
      <c r="D102" s="317"/>
      <c r="E102" s="318" t="s">
        <v>399</v>
      </c>
      <c r="F102" s="319"/>
    </row>
    <row r="103" spans="1:8" ht="29.25" x14ac:dyDescent="0.6">
      <c r="A103" s="320" t="s">
        <v>400</v>
      </c>
      <c r="B103" s="321"/>
      <c r="C103" s="322"/>
      <c r="D103" s="323"/>
      <c r="E103" s="324" t="s">
        <v>401</v>
      </c>
      <c r="F103" s="325"/>
    </row>
    <row r="104" spans="1:8" ht="29.25" x14ac:dyDescent="0.6">
      <c r="A104" s="326"/>
      <c r="B104" s="327"/>
      <c r="C104" s="328"/>
      <c r="D104" s="329"/>
      <c r="E104" s="330" t="s">
        <v>13</v>
      </c>
      <c r="F104" s="331"/>
    </row>
    <row r="105" spans="1:8" ht="23.25" x14ac:dyDescent="0.5">
      <c r="A105" s="614"/>
      <c r="B105" s="368"/>
      <c r="C105" s="368"/>
      <c r="D105" s="319"/>
      <c r="E105" s="417" t="s">
        <v>402</v>
      </c>
      <c r="F105" s="319" t="s">
        <v>9</v>
      </c>
    </row>
    <row r="106" spans="1:8" ht="23.25" x14ac:dyDescent="0.5">
      <c r="A106" s="335" t="s">
        <v>687</v>
      </c>
      <c r="B106" s="615"/>
      <c r="C106" s="336"/>
      <c r="D106" s="337"/>
      <c r="E106" s="338">
        <v>8392429.1400000006</v>
      </c>
      <c r="F106" s="337"/>
    </row>
    <row r="107" spans="1:8" ht="23.25" x14ac:dyDescent="0.5">
      <c r="A107" s="339" t="s">
        <v>403</v>
      </c>
      <c r="B107" s="615"/>
      <c r="C107" s="336"/>
      <c r="D107" s="337"/>
      <c r="E107" s="338"/>
      <c r="F107" s="337"/>
    </row>
    <row r="108" spans="1:8" ht="23.25" x14ac:dyDescent="0.5">
      <c r="A108" s="340" t="s">
        <v>404</v>
      </c>
      <c r="B108" s="336"/>
      <c r="C108" s="336"/>
      <c r="D108" s="616"/>
      <c r="E108" s="336"/>
      <c r="F108" s="337"/>
    </row>
    <row r="109" spans="1:8" ht="23.25" x14ac:dyDescent="0.5">
      <c r="A109" s="610"/>
      <c r="B109" s="342"/>
      <c r="C109" s="342"/>
      <c r="D109" s="343"/>
      <c r="E109" s="336"/>
      <c r="F109" s="337"/>
      <c r="H109">
        <v>4</v>
      </c>
    </row>
    <row r="110" spans="1:8" ht="23.25" x14ac:dyDescent="0.5">
      <c r="A110" s="344" t="s">
        <v>405</v>
      </c>
      <c r="B110" s="342" t="s">
        <v>406</v>
      </c>
      <c r="C110" s="342"/>
      <c r="D110" s="343" t="s">
        <v>402</v>
      </c>
      <c r="E110" s="336"/>
      <c r="F110" s="337"/>
    </row>
    <row r="111" spans="1:8" ht="23.25" x14ac:dyDescent="0.5">
      <c r="A111" s="345" t="s">
        <v>499</v>
      </c>
      <c r="B111" s="346">
        <v>6898412</v>
      </c>
      <c r="C111" s="347"/>
      <c r="D111" s="348">
        <v>1000</v>
      </c>
      <c r="E111" s="336"/>
      <c r="F111" s="337"/>
    </row>
    <row r="112" spans="1:8" ht="23.25" x14ac:dyDescent="0.5">
      <c r="A112" s="349" t="s">
        <v>675</v>
      </c>
      <c r="B112" s="346">
        <v>4103302</v>
      </c>
      <c r="C112" s="347"/>
      <c r="D112" s="348">
        <v>3</v>
      </c>
      <c r="E112" s="336"/>
      <c r="F112" s="337"/>
    </row>
    <row r="113" spans="1:6" ht="23.25" x14ac:dyDescent="0.5">
      <c r="A113" s="349" t="s">
        <v>676</v>
      </c>
      <c r="B113" s="346">
        <v>13230209</v>
      </c>
      <c r="C113" s="347"/>
      <c r="D113" s="348">
        <v>1730</v>
      </c>
      <c r="E113" s="353"/>
      <c r="F113" s="337"/>
    </row>
    <row r="114" spans="1:6" ht="23.25" x14ac:dyDescent="0.5">
      <c r="A114" s="349" t="s">
        <v>688</v>
      </c>
      <c r="B114" s="346">
        <v>13230376</v>
      </c>
      <c r="C114" s="347"/>
      <c r="D114" s="348">
        <v>2400</v>
      </c>
      <c r="E114" s="353"/>
      <c r="F114" s="337"/>
    </row>
    <row r="115" spans="1:6" ht="23.25" x14ac:dyDescent="0.5">
      <c r="A115" s="349"/>
      <c r="B115" s="346">
        <v>13230377</v>
      </c>
      <c r="C115" s="618"/>
      <c r="D115" s="619">
        <v>2000</v>
      </c>
      <c r="E115" s="353"/>
      <c r="F115" s="337"/>
    </row>
    <row r="116" spans="1:6" ht="23.25" x14ac:dyDescent="0.5">
      <c r="A116" s="349"/>
      <c r="B116" s="346">
        <v>13230383</v>
      </c>
      <c r="C116" s="618"/>
      <c r="D116" s="619">
        <v>3500</v>
      </c>
      <c r="E116" s="353"/>
      <c r="F116" s="337"/>
    </row>
    <row r="117" spans="1:6" ht="23.25" x14ac:dyDescent="0.5">
      <c r="A117" s="349"/>
      <c r="B117" s="346">
        <v>13230387</v>
      </c>
      <c r="C117" s="618"/>
      <c r="D117" s="619">
        <v>8915.89</v>
      </c>
      <c r="E117" s="353"/>
      <c r="F117" s="337"/>
    </row>
    <row r="118" spans="1:6" ht="23.25" x14ac:dyDescent="0.5">
      <c r="A118" s="349"/>
      <c r="B118" s="346"/>
      <c r="C118" s="618"/>
      <c r="D118" s="619"/>
      <c r="E118" s="353"/>
      <c r="F118" s="337"/>
    </row>
    <row r="119" spans="1:6" ht="23.25" x14ac:dyDescent="0.5">
      <c r="A119" s="349"/>
      <c r="B119" s="346"/>
      <c r="C119" s="347"/>
      <c r="D119" s="348"/>
      <c r="E119" s="353"/>
      <c r="F119" s="337"/>
    </row>
    <row r="120" spans="1:6" s="418" customFormat="1" ht="24" thickBot="1" x14ac:dyDescent="0.55000000000000004">
      <c r="A120" s="345"/>
      <c r="B120" s="346"/>
      <c r="C120" s="356" t="s">
        <v>151</v>
      </c>
      <c r="D120" s="620">
        <f>SUM(D111:D119)</f>
        <v>19548.89</v>
      </c>
      <c r="E120" s="353">
        <f>+D120</f>
        <v>19548.89</v>
      </c>
      <c r="F120" s="337"/>
    </row>
    <row r="121" spans="1:6" s="418" customFormat="1" ht="24" thickTop="1" x14ac:dyDescent="0.5">
      <c r="A121" s="357" t="s">
        <v>407</v>
      </c>
      <c r="B121" s="336"/>
      <c r="C121" s="342"/>
      <c r="D121" s="348"/>
      <c r="E121" s="353"/>
      <c r="F121" s="337"/>
    </row>
    <row r="122" spans="1:6" s="418" customFormat="1" ht="23.25" x14ac:dyDescent="0.5">
      <c r="A122" s="339" t="s">
        <v>678</v>
      </c>
      <c r="B122" s="615"/>
      <c r="C122" s="336"/>
      <c r="D122" s="337"/>
      <c r="E122" s="338">
        <v>23473.95</v>
      </c>
      <c r="F122" s="337"/>
    </row>
    <row r="123" spans="1:6" s="418" customFormat="1" ht="23.25" x14ac:dyDescent="0.5">
      <c r="A123" s="340" t="s">
        <v>408</v>
      </c>
      <c r="B123" s="336"/>
      <c r="C123" s="336"/>
      <c r="D123" s="337"/>
      <c r="E123" s="419"/>
      <c r="F123" s="337"/>
    </row>
    <row r="124" spans="1:6" s="418" customFormat="1" ht="23.25" x14ac:dyDescent="0.5">
      <c r="A124" s="890" t="s">
        <v>679</v>
      </c>
      <c r="B124" s="891"/>
      <c r="C124" s="891"/>
      <c r="D124" s="892"/>
      <c r="E124" s="361">
        <v>2</v>
      </c>
      <c r="F124" s="616"/>
    </row>
    <row r="125" spans="1:6" s="418" customFormat="1" ht="24" thickBot="1" x14ac:dyDescent="0.55000000000000004">
      <c r="A125" s="359" t="s">
        <v>689</v>
      </c>
      <c r="B125" s="324"/>
      <c r="C125" s="371"/>
      <c r="D125" s="355"/>
      <c r="E125" s="362">
        <f>+E106+E107-E120-E124-E122</f>
        <v>8349404.3000000007</v>
      </c>
      <c r="F125" s="363"/>
    </row>
    <row r="126" spans="1:6" s="418" customFormat="1" ht="24" thickTop="1" x14ac:dyDescent="0.5">
      <c r="A126" s="364"/>
      <c r="B126" s="365"/>
      <c r="C126" s="365"/>
      <c r="D126" s="366"/>
      <c r="E126" s="365"/>
      <c r="F126" s="366"/>
    </row>
    <row r="127" spans="1:6" s="418" customFormat="1" ht="23.25" x14ac:dyDescent="0.5">
      <c r="A127" s="367" t="s">
        <v>409</v>
      </c>
      <c r="B127" s="368"/>
      <c r="C127" s="319"/>
      <c r="D127" s="369" t="s">
        <v>410</v>
      </c>
      <c r="E127" s="336"/>
      <c r="F127" s="337"/>
    </row>
    <row r="128" spans="1:6" s="418" customFormat="1" ht="23.25" x14ac:dyDescent="0.5">
      <c r="A128" s="335" t="s">
        <v>500</v>
      </c>
      <c r="B128" s="336"/>
      <c r="C128" s="336"/>
      <c r="D128" s="335" t="s">
        <v>501</v>
      </c>
      <c r="E128" s="336"/>
      <c r="F128" s="337"/>
    </row>
    <row r="129" spans="1:8" s="418" customFormat="1" ht="23.25" x14ac:dyDescent="0.5">
      <c r="A129" s="335" t="s">
        <v>502</v>
      </c>
      <c r="B129" s="336"/>
      <c r="C129" s="337"/>
      <c r="D129" s="335" t="s">
        <v>502</v>
      </c>
      <c r="E129" s="336"/>
      <c r="F129" s="337"/>
    </row>
    <row r="130" spans="1:8" s="418" customFormat="1" ht="23.25" x14ac:dyDescent="0.5">
      <c r="A130" s="335" t="s">
        <v>411</v>
      </c>
      <c r="B130" s="336"/>
      <c r="C130" s="337"/>
      <c r="D130" s="335" t="s">
        <v>411</v>
      </c>
      <c r="E130" s="336"/>
      <c r="F130" s="337"/>
    </row>
    <row r="131" spans="1:8" s="418" customFormat="1" ht="23.25" x14ac:dyDescent="0.5">
      <c r="A131" s="335" t="s">
        <v>690</v>
      </c>
      <c r="B131" s="336"/>
      <c r="C131" s="336"/>
      <c r="D131" s="335" t="s">
        <v>690</v>
      </c>
      <c r="E131" s="336"/>
      <c r="F131" s="337"/>
    </row>
    <row r="132" spans="1:8" s="418" customFormat="1" ht="23.25" x14ac:dyDescent="0.5">
      <c r="A132" s="364"/>
      <c r="B132" s="365"/>
      <c r="C132" s="370"/>
      <c r="D132" s="365"/>
      <c r="E132" s="365"/>
      <c r="F132" s="366"/>
    </row>
    <row r="134" spans="1:8" ht="29.25" x14ac:dyDescent="0.6">
      <c r="A134" s="314" t="s">
        <v>398</v>
      </c>
      <c r="B134" s="315"/>
      <c r="C134" s="316"/>
      <c r="D134" s="317"/>
      <c r="E134" s="318" t="s">
        <v>399</v>
      </c>
      <c r="F134" s="319"/>
    </row>
    <row r="135" spans="1:8" ht="29.25" x14ac:dyDescent="0.6">
      <c r="A135" s="320" t="s">
        <v>400</v>
      </c>
      <c r="B135" s="321"/>
      <c r="C135" s="322"/>
      <c r="D135" s="323"/>
      <c r="E135" s="324" t="s">
        <v>401</v>
      </c>
      <c r="F135" s="325"/>
    </row>
    <row r="136" spans="1:8" ht="16.5" customHeight="1" x14ac:dyDescent="0.6">
      <c r="A136" s="326"/>
      <c r="B136" s="327"/>
      <c r="C136" s="328"/>
      <c r="D136" s="329"/>
      <c r="E136" s="330" t="s">
        <v>13</v>
      </c>
      <c r="F136" s="331"/>
    </row>
    <row r="137" spans="1:8" ht="23.25" x14ac:dyDescent="0.5">
      <c r="A137" s="614"/>
      <c r="B137" s="368"/>
      <c r="C137" s="368"/>
      <c r="D137" s="319"/>
      <c r="E137" s="417" t="s">
        <v>402</v>
      </c>
      <c r="F137" s="319" t="s">
        <v>9</v>
      </c>
    </row>
    <row r="138" spans="1:8" ht="23.25" x14ac:dyDescent="0.5">
      <c r="A138" s="335" t="s">
        <v>691</v>
      </c>
      <c r="B138" s="615"/>
      <c r="C138" s="336"/>
      <c r="D138" s="337"/>
      <c r="E138" s="338">
        <v>6886852.5499999998</v>
      </c>
      <c r="F138" s="337"/>
    </row>
    <row r="139" spans="1:8" ht="23.25" x14ac:dyDescent="0.5">
      <c r="A139" s="339" t="s">
        <v>403</v>
      </c>
      <c r="B139" s="615"/>
      <c r="C139" s="336"/>
      <c r="D139" s="337"/>
      <c r="E139" s="338"/>
      <c r="F139" s="337"/>
    </row>
    <row r="140" spans="1:8" ht="23.25" x14ac:dyDescent="0.5">
      <c r="A140" s="340" t="s">
        <v>404</v>
      </c>
      <c r="B140" s="336"/>
      <c r="C140" s="336"/>
      <c r="D140" s="616"/>
      <c r="E140" s="336"/>
      <c r="F140" s="337"/>
    </row>
    <row r="141" spans="1:8" ht="23.25" x14ac:dyDescent="0.5">
      <c r="A141" s="610"/>
      <c r="B141" s="342"/>
      <c r="C141" s="342"/>
      <c r="D141" s="343"/>
      <c r="E141" s="336"/>
      <c r="F141" s="337"/>
      <c r="H141">
        <v>5</v>
      </c>
    </row>
    <row r="142" spans="1:8" ht="23.25" x14ac:dyDescent="0.5">
      <c r="A142" s="344" t="s">
        <v>405</v>
      </c>
      <c r="B142" s="342" t="s">
        <v>406</v>
      </c>
      <c r="C142" s="342"/>
      <c r="D142" s="343" t="s">
        <v>402</v>
      </c>
      <c r="E142" s="336"/>
      <c r="F142" s="337"/>
    </row>
    <row r="143" spans="1:8" ht="23.25" x14ac:dyDescent="0.5">
      <c r="A143" s="345" t="s">
        <v>499</v>
      </c>
      <c r="B143" s="346">
        <v>6898412</v>
      </c>
      <c r="C143" s="347"/>
      <c r="D143" s="348">
        <v>1000</v>
      </c>
      <c r="E143" s="336"/>
      <c r="F143" s="337"/>
    </row>
    <row r="144" spans="1:8" ht="23.25" x14ac:dyDescent="0.5">
      <c r="A144" s="349" t="s">
        <v>675</v>
      </c>
      <c r="B144" s="346">
        <v>4103302</v>
      </c>
      <c r="C144" s="347"/>
      <c r="D144" s="348">
        <v>3</v>
      </c>
      <c r="E144" s="336"/>
      <c r="F144" s="337"/>
    </row>
    <row r="145" spans="1:6" ht="23.25" x14ac:dyDescent="0.5">
      <c r="A145" s="349" t="s">
        <v>676</v>
      </c>
      <c r="B145" s="346">
        <v>13230209</v>
      </c>
      <c r="C145" s="347"/>
      <c r="D145" s="348">
        <v>1730</v>
      </c>
      <c r="E145" s="353"/>
      <c r="F145" s="337"/>
    </row>
    <row r="146" spans="1:6" ht="23.25" x14ac:dyDescent="0.5">
      <c r="A146" s="349" t="s">
        <v>688</v>
      </c>
      <c r="B146" s="346">
        <v>13230377</v>
      </c>
      <c r="C146" s="618"/>
      <c r="D146" s="619">
        <v>2000</v>
      </c>
      <c r="E146" s="353"/>
      <c r="F146" s="337"/>
    </row>
    <row r="147" spans="1:6" ht="23.25" x14ac:dyDescent="0.5">
      <c r="A147" s="349" t="s">
        <v>692</v>
      </c>
      <c r="B147" s="346">
        <v>13230400</v>
      </c>
      <c r="C147" s="618"/>
      <c r="D147" s="619">
        <v>33238</v>
      </c>
      <c r="E147" s="353"/>
      <c r="F147" s="337"/>
    </row>
    <row r="148" spans="1:6" ht="23.25" x14ac:dyDescent="0.5">
      <c r="A148" s="349" t="s">
        <v>693</v>
      </c>
      <c r="B148" s="346">
        <v>13230420</v>
      </c>
      <c r="C148" s="618"/>
      <c r="D148" s="619">
        <v>1820</v>
      </c>
      <c r="E148" s="353"/>
      <c r="F148" s="337"/>
    </row>
    <row r="149" spans="1:6" ht="23.25" x14ac:dyDescent="0.5">
      <c r="A149" s="349"/>
      <c r="B149" s="346">
        <v>13230421</v>
      </c>
      <c r="C149" s="618"/>
      <c r="D149" s="619">
        <v>2500</v>
      </c>
      <c r="E149" s="353"/>
      <c r="F149" s="337"/>
    </row>
    <row r="150" spans="1:6" ht="23.25" x14ac:dyDescent="0.5">
      <c r="A150" s="349" t="s">
        <v>694</v>
      </c>
      <c r="B150" s="346">
        <v>13230427</v>
      </c>
      <c r="C150" s="618"/>
      <c r="D150" s="619">
        <v>1440</v>
      </c>
      <c r="E150" s="353"/>
      <c r="F150" s="337"/>
    </row>
    <row r="151" spans="1:6" ht="23.25" x14ac:dyDescent="0.5">
      <c r="A151" s="349"/>
      <c r="B151" s="346">
        <v>13230428</v>
      </c>
      <c r="C151" s="618"/>
      <c r="D151" s="619">
        <v>12900</v>
      </c>
      <c r="E151" s="353"/>
      <c r="F151" s="337"/>
    </row>
    <row r="152" spans="1:6" ht="23.25" x14ac:dyDescent="0.5">
      <c r="A152" s="349"/>
      <c r="B152" s="346">
        <v>12320429</v>
      </c>
      <c r="C152" s="618"/>
      <c r="D152" s="619">
        <v>2260</v>
      </c>
      <c r="E152" s="353"/>
      <c r="F152" s="337"/>
    </row>
    <row r="153" spans="1:6" ht="23.25" x14ac:dyDescent="0.5">
      <c r="A153" s="349"/>
      <c r="B153" s="346">
        <v>12320431</v>
      </c>
      <c r="C153" s="618"/>
      <c r="D153" s="619">
        <v>8140</v>
      </c>
      <c r="E153" s="353"/>
      <c r="F153" s="337"/>
    </row>
    <row r="154" spans="1:6" ht="23.25" x14ac:dyDescent="0.5">
      <c r="A154" s="349"/>
      <c r="B154" s="346">
        <v>13230433</v>
      </c>
      <c r="C154" s="347"/>
      <c r="D154" s="348">
        <v>8626.01</v>
      </c>
      <c r="E154" s="353"/>
      <c r="F154" s="337"/>
    </row>
    <row r="155" spans="1:6" s="418" customFormat="1" ht="24" thickBot="1" x14ac:dyDescent="0.55000000000000004">
      <c r="A155" s="345"/>
      <c r="B155" s="346"/>
      <c r="C155" s="356" t="s">
        <v>151</v>
      </c>
      <c r="D155" s="620">
        <f>SUM(D143:D154)</f>
        <v>75657.009999999995</v>
      </c>
      <c r="E155" s="353">
        <f>+D155</f>
        <v>75657.009999999995</v>
      </c>
      <c r="F155" s="337"/>
    </row>
    <row r="156" spans="1:6" s="418" customFormat="1" ht="24" thickTop="1" x14ac:dyDescent="0.5">
      <c r="A156" s="357" t="s">
        <v>407</v>
      </c>
      <c r="B156" s="336"/>
      <c r="C156" s="342"/>
      <c r="D156" s="348"/>
      <c r="E156" s="353"/>
      <c r="F156" s="337"/>
    </row>
    <row r="157" spans="1:6" s="418" customFormat="1" ht="23.25" x14ac:dyDescent="0.5">
      <c r="A157" s="339" t="s">
        <v>695</v>
      </c>
      <c r="B157" s="615"/>
      <c r="C157" s="336"/>
      <c r="D157" s="337"/>
      <c r="E157" s="338">
        <v>140</v>
      </c>
      <c r="F157" s="337"/>
    </row>
    <row r="158" spans="1:6" s="418" customFormat="1" ht="23.25" x14ac:dyDescent="0.5">
      <c r="A158" s="340" t="s">
        <v>408</v>
      </c>
      <c r="B158" s="336"/>
      <c r="C158" s="336"/>
      <c r="D158" s="337"/>
      <c r="E158" s="419"/>
      <c r="F158" s="337"/>
    </row>
    <row r="159" spans="1:6" s="418" customFormat="1" ht="23.25" x14ac:dyDescent="0.5">
      <c r="A159" s="890" t="s">
        <v>679</v>
      </c>
      <c r="B159" s="891"/>
      <c r="C159" s="891"/>
      <c r="D159" s="892"/>
      <c r="E159" s="361">
        <v>2</v>
      </c>
      <c r="F159" s="616"/>
    </row>
    <row r="160" spans="1:6" s="418" customFormat="1" ht="24" thickBot="1" x14ac:dyDescent="0.55000000000000004">
      <c r="A160" s="359" t="s">
        <v>696</v>
      </c>
      <c r="B160" s="324"/>
      <c r="C160" s="371"/>
      <c r="D160" s="355"/>
      <c r="E160" s="362">
        <f>+E138-E155-E159-E157</f>
        <v>6811053.54</v>
      </c>
      <c r="F160" s="363"/>
    </row>
    <row r="161" spans="1:8" s="418" customFormat="1" ht="24" thickTop="1" x14ac:dyDescent="0.5">
      <c r="A161" s="364"/>
      <c r="B161" s="365"/>
      <c r="C161" s="365"/>
      <c r="D161" s="366"/>
      <c r="E161" s="365"/>
      <c r="F161" s="366"/>
    </row>
    <row r="162" spans="1:8" s="418" customFormat="1" ht="23.25" x14ac:dyDescent="0.5">
      <c r="A162" s="621" t="s">
        <v>409</v>
      </c>
      <c r="B162" s="317"/>
      <c r="C162" s="333"/>
      <c r="D162" s="622" t="s">
        <v>410</v>
      </c>
      <c r="E162" s="323"/>
      <c r="F162" s="623"/>
    </row>
    <row r="163" spans="1:8" s="418" customFormat="1" ht="19.5" customHeight="1" x14ac:dyDescent="0.5">
      <c r="A163" s="624" t="s">
        <v>500</v>
      </c>
      <c r="B163" s="323"/>
      <c r="C163" s="323"/>
      <c r="D163" s="624" t="s">
        <v>501</v>
      </c>
      <c r="E163" s="323"/>
      <c r="F163" s="623"/>
    </row>
    <row r="164" spans="1:8" s="418" customFormat="1" ht="18.75" customHeight="1" x14ac:dyDescent="0.5">
      <c r="A164" s="624" t="s">
        <v>502</v>
      </c>
      <c r="B164" s="323"/>
      <c r="C164" s="623"/>
      <c r="D164" s="624" t="s">
        <v>502</v>
      </c>
      <c r="E164" s="323"/>
      <c r="F164" s="623"/>
    </row>
    <row r="165" spans="1:8" s="418" customFormat="1" ht="20.25" customHeight="1" x14ac:dyDescent="0.5">
      <c r="A165" s="624" t="s">
        <v>411</v>
      </c>
      <c r="B165" s="323"/>
      <c r="C165" s="623"/>
      <c r="D165" s="624" t="s">
        <v>411</v>
      </c>
      <c r="E165" s="323"/>
      <c r="F165" s="623"/>
    </row>
    <row r="166" spans="1:8" s="418" customFormat="1" ht="19.5" customHeight="1" x14ac:dyDescent="0.5">
      <c r="A166" s="624" t="s">
        <v>697</v>
      </c>
      <c r="B166" s="323"/>
      <c r="C166" s="323"/>
      <c r="D166" s="624" t="s">
        <v>697</v>
      </c>
      <c r="E166" s="323"/>
      <c r="F166" s="623"/>
    </row>
    <row r="167" spans="1:8" s="418" customFormat="1" ht="3.75" customHeight="1" x14ac:dyDescent="0.5">
      <c r="A167" s="625"/>
      <c r="B167" s="329"/>
      <c r="C167" s="626"/>
      <c r="D167" s="329"/>
      <c r="E167" s="329"/>
      <c r="F167" s="627"/>
    </row>
    <row r="169" spans="1:8" ht="29.25" x14ac:dyDescent="0.6">
      <c r="A169" s="314" t="s">
        <v>398</v>
      </c>
      <c r="B169" s="315"/>
      <c r="C169" s="316"/>
      <c r="D169" s="317"/>
      <c r="E169" s="318" t="s">
        <v>399</v>
      </c>
      <c r="F169" s="319"/>
    </row>
    <row r="170" spans="1:8" ht="29.25" x14ac:dyDescent="0.6">
      <c r="A170" s="320" t="s">
        <v>400</v>
      </c>
      <c r="B170" s="321"/>
      <c r="C170" s="322"/>
      <c r="D170" s="323"/>
      <c r="E170" s="324" t="s">
        <v>401</v>
      </c>
      <c r="F170" s="325"/>
    </row>
    <row r="171" spans="1:8" ht="16.5" customHeight="1" x14ac:dyDescent="0.6">
      <c r="A171" s="326"/>
      <c r="B171" s="327"/>
      <c r="C171" s="328"/>
      <c r="D171" s="329"/>
      <c r="E171" s="330" t="s">
        <v>13</v>
      </c>
      <c r="F171" s="331"/>
    </row>
    <row r="172" spans="1:8" ht="23.25" x14ac:dyDescent="0.5">
      <c r="A172" s="614"/>
      <c r="B172" s="368"/>
      <c r="C172" s="368"/>
      <c r="D172" s="319"/>
      <c r="E172" s="417" t="s">
        <v>402</v>
      </c>
      <c r="F172" s="319" t="s">
        <v>9</v>
      </c>
    </row>
    <row r="173" spans="1:8" ht="23.25" x14ac:dyDescent="0.5">
      <c r="A173" s="335" t="s">
        <v>698</v>
      </c>
      <c r="B173" s="615"/>
      <c r="C173" s="336"/>
      <c r="D173" s="337"/>
      <c r="E173" s="338">
        <v>7418602.3200000003</v>
      </c>
      <c r="F173" s="337"/>
    </row>
    <row r="174" spans="1:8" ht="23.25" x14ac:dyDescent="0.5">
      <c r="A174" s="339" t="s">
        <v>403</v>
      </c>
      <c r="B174" s="615"/>
      <c r="C174" s="336"/>
      <c r="D174" s="337"/>
      <c r="E174" s="338"/>
      <c r="F174" s="337"/>
    </row>
    <row r="175" spans="1:8" ht="23.25" x14ac:dyDescent="0.5">
      <c r="A175" s="340" t="s">
        <v>404</v>
      </c>
      <c r="B175" s="336"/>
      <c r="C175" s="336"/>
      <c r="D175" s="616"/>
      <c r="E175" s="336"/>
      <c r="F175" s="337"/>
    </row>
    <row r="176" spans="1:8" ht="23.25" x14ac:dyDescent="0.5">
      <c r="A176" s="610"/>
      <c r="B176" s="342"/>
      <c r="C176" s="342"/>
      <c r="D176" s="343"/>
      <c r="E176" s="336"/>
      <c r="F176" s="337"/>
      <c r="H176">
        <v>6</v>
      </c>
    </row>
    <row r="177" spans="1:6" ht="23.25" x14ac:dyDescent="0.5">
      <c r="A177" s="344" t="s">
        <v>405</v>
      </c>
      <c r="B177" s="342" t="s">
        <v>406</v>
      </c>
      <c r="C177" s="342"/>
      <c r="D177" s="343" t="s">
        <v>402</v>
      </c>
      <c r="E177" s="336"/>
      <c r="F177" s="337"/>
    </row>
    <row r="178" spans="1:6" ht="23.25" x14ac:dyDescent="0.5">
      <c r="A178" s="345" t="s">
        <v>499</v>
      </c>
      <c r="B178" s="346">
        <v>6898412</v>
      </c>
      <c r="C178" s="347"/>
      <c r="D178" s="348">
        <v>1000</v>
      </c>
      <c r="E178" s="336"/>
      <c r="F178" s="337"/>
    </row>
    <row r="179" spans="1:6" ht="23.25" x14ac:dyDescent="0.5">
      <c r="A179" s="349" t="s">
        <v>675</v>
      </c>
      <c r="B179" s="346">
        <v>4103302</v>
      </c>
      <c r="C179" s="347"/>
      <c r="D179" s="348">
        <v>3</v>
      </c>
      <c r="E179" s="336"/>
      <c r="F179" s="337"/>
    </row>
    <row r="180" spans="1:6" ht="23.25" x14ac:dyDescent="0.5">
      <c r="A180" s="349" t="s">
        <v>676</v>
      </c>
      <c r="B180" s="346">
        <v>13230209</v>
      </c>
      <c r="C180" s="347"/>
      <c r="D180" s="348">
        <v>1730</v>
      </c>
      <c r="E180" s="353"/>
      <c r="F180" s="337"/>
    </row>
    <row r="181" spans="1:6" ht="23.25" x14ac:dyDescent="0.5">
      <c r="A181" s="349" t="s">
        <v>688</v>
      </c>
      <c r="B181" s="346">
        <v>13230377</v>
      </c>
      <c r="C181" s="618"/>
      <c r="D181" s="619">
        <v>2000</v>
      </c>
      <c r="E181" s="353"/>
      <c r="F181" s="337"/>
    </row>
    <row r="182" spans="1:6" ht="23.25" x14ac:dyDescent="0.5">
      <c r="A182" s="349" t="s">
        <v>692</v>
      </c>
      <c r="B182" s="346">
        <v>13230400</v>
      </c>
      <c r="C182" s="618"/>
      <c r="D182" s="619">
        <v>33238</v>
      </c>
      <c r="E182" s="353"/>
      <c r="F182" s="337"/>
    </row>
    <row r="183" spans="1:6" ht="23.25" x14ac:dyDescent="0.5">
      <c r="A183" s="349" t="s">
        <v>693</v>
      </c>
      <c r="B183" s="346">
        <v>13230420</v>
      </c>
      <c r="C183" s="618"/>
      <c r="D183" s="619">
        <v>1820</v>
      </c>
      <c r="E183" s="353"/>
      <c r="F183" s="337"/>
    </row>
    <row r="184" spans="1:6" ht="23.25" x14ac:dyDescent="0.5">
      <c r="A184" s="349" t="s">
        <v>699</v>
      </c>
      <c r="B184" s="346">
        <v>13230440</v>
      </c>
      <c r="C184" s="618"/>
      <c r="D184" s="619">
        <v>3930</v>
      </c>
      <c r="E184" s="353"/>
      <c r="F184" s="337"/>
    </row>
    <row r="185" spans="1:6" ht="23.25" x14ac:dyDescent="0.5">
      <c r="A185" s="349" t="s">
        <v>700</v>
      </c>
      <c r="B185" s="346">
        <v>13230453</v>
      </c>
      <c r="C185" s="618"/>
      <c r="D185" s="619">
        <v>33238</v>
      </c>
      <c r="E185" s="353"/>
      <c r="F185" s="337"/>
    </row>
    <row r="186" spans="1:6" ht="23.25" x14ac:dyDescent="0.5">
      <c r="A186" s="349" t="s">
        <v>701</v>
      </c>
      <c r="B186" s="346">
        <v>16258066</v>
      </c>
      <c r="C186" s="618"/>
      <c r="D186" s="619">
        <v>500</v>
      </c>
      <c r="E186" s="353"/>
      <c r="F186" s="337"/>
    </row>
    <row r="187" spans="1:6" ht="23.25" x14ac:dyDescent="0.5">
      <c r="A187" s="349"/>
      <c r="B187" s="346">
        <v>16258067</v>
      </c>
      <c r="C187" s="618"/>
      <c r="D187" s="619">
        <v>1500</v>
      </c>
      <c r="E187" s="353"/>
      <c r="F187" s="337"/>
    </row>
    <row r="188" spans="1:6" ht="23.25" x14ac:dyDescent="0.5">
      <c r="A188" s="349"/>
      <c r="B188" s="346">
        <v>16258068</v>
      </c>
      <c r="C188" s="618"/>
      <c r="D188" s="619">
        <v>3430</v>
      </c>
      <c r="E188" s="353"/>
      <c r="F188" s="337"/>
    </row>
    <row r="189" spans="1:6" ht="23.25" x14ac:dyDescent="0.5">
      <c r="A189" s="349"/>
      <c r="B189" s="346">
        <v>16258069</v>
      </c>
      <c r="C189" s="347"/>
      <c r="D189" s="348">
        <v>4600</v>
      </c>
      <c r="E189" s="353"/>
      <c r="F189" s="337"/>
    </row>
    <row r="190" spans="1:6" s="418" customFormat="1" ht="24" thickBot="1" x14ac:dyDescent="0.55000000000000004">
      <c r="A190" s="345"/>
      <c r="B190" s="346"/>
      <c r="C190" s="356" t="s">
        <v>151</v>
      </c>
      <c r="D190" s="620">
        <f>SUM(D178:D189)</f>
        <v>86989</v>
      </c>
      <c r="E190" s="353">
        <f>+D190</f>
        <v>86989</v>
      </c>
      <c r="F190" s="337"/>
    </row>
    <row r="191" spans="1:6" s="418" customFormat="1" ht="24" thickTop="1" x14ac:dyDescent="0.5">
      <c r="A191" s="357" t="s">
        <v>407</v>
      </c>
      <c r="B191" s="336"/>
      <c r="C191" s="342"/>
      <c r="D191" s="348"/>
      <c r="E191" s="353"/>
      <c r="F191" s="337"/>
    </row>
    <row r="192" spans="1:6" s="418" customFormat="1" ht="23.25" x14ac:dyDescent="0.5">
      <c r="A192" s="339" t="s">
        <v>695</v>
      </c>
      <c r="B192" s="615"/>
      <c r="C192" s="336"/>
      <c r="D192" s="337"/>
      <c r="E192" s="338">
        <v>140</v>
      </c>
      <c r="F192" s="337"/>
    </row>
    <row r="193" spans="1:6" s="418" customFormat="1" ht="23.25" x14ac:dyDescent="0.5">
      <c r="A193" s="340" t="s">
        <v>408</v>
      </c>
      <c r="B193" s="336"/>
      <c r="C193" s="336"/>
      <c r="D193" s="337"/>
      <c r="E193" s="419"/>
      <c r="F193" s="337"/>
    </row>
    <row r="194" spans="1:6" s="418" customFormat="1" ht="23.25" x14ac:dyDescent="0.5">
      <c r="A194" s="890" t="s">
        <v>679</v>
      </c>
      <c r="B194" s="891"/>
      <c r="C194" s="891"/>
      <c r="D194" s="892"/>
      <c r="E194" s="361">
        <v>2</v>
      </c>
      <c r="F194" s="616"/>
    </row>
    <row r="195" spans="1:6" s="418" customFormat="1" ht="24" thickBot="1" x14ac:dyDescent="0.55000000000000004">
      <c r="A195" s="359" t="s">
        <v>702</v>
      </c>
      <c r="B195" s="324"/>
      <c r="C195" s="371"/>
      <c r="D195" s="355"/>
      <c r="E195" s="362">
        <f>+E173-E190-E194-E192</f>
        <v>7331471.3200000003</v>
      </c>
      <c r="F195" s="363"/>
    </row>
    <row r="196" spans="1:6" s="418" customFormat="1" ht="16.5" customHeight="1" thickTop="1" x14ac:dyDescent="0.5">
      <c r="A196" s="364"/>
      <c r="B196" s="365"/>
      <c r="C196" s="365"/>
      <c r="D196" s="366"/>
      <c r="E196" s="365"/>
      <c r="F196" s="366"/>
    </row>
    <row r="197" spans="1:6" s="418" customFormat="1" ht="21" customHeight="1" x14ac:dyDescent="0.5">
      <c r="A197" s="621" t="s">
        <v>409</v>
      </c>
      <c r="B197" s="317"/>
      <c r="C197" s="333"/>
      <c r="D197" s="622" t="s">
        <v>410</v>
      </c>
      <c r="E197" s="323"/>
      <c r="F197" s="623"/>
    </row>
    <row r="198" spans="1:6" s="418" customFormat="1" ht="20.25" customHeight="1" x14ac:dyDescent="0.5">
      <c r="A198" s="624" t="s">
        <v>500</v>
      </c>
      <c r="B198" s="323"/>
      <c r="C198" s="323"/>
      <c r="D198" s="624" t="s">
        <v>501</v>
      </c>
      <c r="E198" s="323"/>
      <c r="F198" s="623"/>
    </row>
    <row r="199" spans="1:6" s="418" customFormat="1" ht="20.25" customHeight="1" x14ac:dyDescent="0.5">
      <c r="A199" s="624" t="s">
        <v>502</v>
      </c>
      <c r="B199" s="323"/>
      <c r="C199" s="623"/>
      <c r="D199" s="624" t="s">
        <v>502</v>
      </c>
      <c r="E199" s="323"/>
      <c r="F199" s="623"/>
    </row>
    <row r="200" spans="1:6" s="418" customFormat="1" ht="18.75" customHeight="1" x14ac:dyDescent="0.5">
      <c r="A200" s="624" t="s">
        <v>411</v>
      </c>
      <c r="B200" s="323"/>
      <c r="C200" s="623"/>
      <c r="D200" s="624" t="s">
        <v>411</v>
      </c>
      <c r="E200" s="323"/>
      <c r="F200" s="623"/>
    </row>
    <row r="201" spans="1:6" s="418" customFormat="1" ht="18.75" customHeight="1" x14ac:dyDescent="0.5">
      <c r="A201" s="625" t="s">
        <v>703</v>
      </c>
      <c r="B201" s="329"/>
      <c r="C201" s="329"/>
      <c r="D201" s="625" t="s">
        <v>703</v>
      </c>
      <c r="E201" s="329"/>
      <c r="F201" s="627"/>
    </row>
    <row r="202" spans="1:6" s="418" customFormat="1" ht="0.75" customHeight="1" x14ac:dyDescent="0.5">
      <c r="A202" s="625"/>
      <c r="B202" s="329"/>
      <c r="C202" s="626"/>
      <c r="D202" s="329"/>
      <c r="E202" s="329"/>
      <c r="F202" s="627"/>
    </row>
    <row r="204" spans="1:6" ht="29.25" x14ac:dyDescent="0.6">
      <c r="A204" s="314" t="s">
        <v>398</v>
      </c>
      <c r="B204" s="315"/>
      <c r="C204" s="316"/>
      <c r="D204" s="317"/>
      <c r="E204" s="318" t="s">
        <v>399</v>
      </c>
      <c r="F204" s="319"/>
    </row>
    <row r="205" spans="1:6" ht="29.25" x14ac:dyDescent="0.6">
      <c r="A205" s="320" t="s">
        <v>400</v>
      </c>
      <c r="B205" s="321"/>
      <c r="C205" s="322"/>
      <c r="D205" s="323"/>
      <c r="E205" s="324" t="s">
        <v>401</v>
      </c>
      <c r="F205" s="325"/>
    </row>
    <row r="206" spans="1:6" ht="16.5" customHeight="1" x14ac:dyDescent="0.6">
      <c r="A206" s="326"/>
      <c r="B206" s="327"/>
      <c r="C206" s="328"/>
      <c r="D206" s="329"/>
      <c r="E206" s="330" t="s">
        <v>13</v>
      </c>
      <c r="F206" s="331"/>
    </row>
    <row r="207" spans="1:6" ht="23.25" x14ac:dyDescent="0.5">
      <c r="A207" s="614"/>
      <c r="B207" s="368"/>
      <c r="C207" s="368"/>
      <c r="D207" s="319"/>
      <c r="E207" s="417" t="s">
        <v>402</v>
      </c>
      <c r="F207" s="319" t="s">
        <v>9</v>
      </c>
    </row>
    <row r="208" spans="1:6" ht="23.25" x14ac:dyDescent="0.5">
      <c r="A208" s="335" t="s">
        <v>704</v>
      </c>
      <c r="B208" s="615"/>
      <c r="C208" s="336"/>
      <c r="D208" s="337"/>
      <c r="E208" s="338">
        <v>7686204.7000000002</v>
      </c>
      <c r="F208" s="337"/>
    </row>
    <row r="209" spans="1:8" ht="23.25" x14ac:dyDescent="0.5">
      <c r="A209" s="339" t="s">
        <v>403</v>
      </c>
      <c r="B209" s="615"/>
      <c r="C209" s="336"/>
      <c r="D209" s="337"/>
      <c r="E209" s="338"/>
      <c r="F209" s="337"/>
    </row>
    <row r="210" spans="1:8" ht="23.25" x14ac:dyDescent="0.5">
      <c r="A210" s="340" t="s">
        <v>404</v>
      </c>
      <c r="B210" s="336"/>
      <c r="C210" s="336"/>
      <c r="D210" s="616"/>
      <c r="E210" s="336"/>
      <c r="F210" s="337"/>
    </row>
    <row r="211" spans="1:8" ht="23.25" x14ac:dyDescent="0.5">
      <c r="A211" s="610"/>
      <c r="B211" s="342"/>
      <c r="C211" s="342"/>
      <c r="D211" s="343"/>
      <c r="E211" s="336"/>
      <c r="F211" s="337"/>
      <c r="H211">
        <v>7</v>
      </c>
    </row>
    <row r="212" spans="1:8" ht="23.25" x14ac:dyDescent="0.5">
      <c r="A212" s="344" t="s">
        <v>405</v>
      </c>
      <c r="B212" s="342" t="s">
        <v>406</v>
      </c>
      <c r="C212" s="342"/>
      <c r="D212" s="343" t="s">
        <v>402</v>
      </c>
      <c r="E212" s="336"/>
      <c r="F212" s="337"/>
    </row>
    <row r="213" spans="1:8" ht="23.25" x14ac:dyDescent="0.5">
      <c r="A213" s="345" t="s">
        <v>499</v>
      </c>
      <c r="B213" s="346">
        <v>6898412</v>
      </c>
      <c r="C213" s="347"/>
      <c r="D213" s="348">
        <v>1000</v>
      </c>
      <c r="E213" s="336"/>
      <c r="F213" s="337"/>
    </row>
    <row r="214" spans="1:8" ht="23.25" x14ac:dyDescent="0.5">
      <c r="A214" s="349" t="s">
        <v>675</v>
      </c>
      <c r="B214" s="346">
        <v>4103302</v>
      </c>
      <c r="C214" s="347"/>
      <c r="D214" s="348">
        <v>3</v>
      </c>
      <c r="E214" s="336"/>
      <c r="F214" s="337"/>
    </row>
    <row r="215" spans="1:8" ht="23.25" x14ac:dyDescent="0.5">
      <c r="A215" s="349" t="s">
        <v>676</v>
      </c>
      <c r="B215" s="346">
        <v>13230209</v>
      </c>
      <c r="C215" s="347"/>
      <c r="D215" s="348">
        <v>1730</v>
      </c>
      <c r="E215" s="353"/>
      <c r="F215" s="337"/>
    </row>
    <row r="216" spans="1:8" ht="23.25" x14ac:dyDescent="0.5">
      <c r="A216" s="349" t="s">
        <v>699</v>
      </c>
      <c r="B216" s="346">
        <v>13230440</v>
      </c>
      <c r="C216" s="618"/>
      <c r="D216" s="619">
        <v>3930</v>
      </c>
      <c r="E216" s="353"/>
      <c r="F216" s="337"/>
    </row>
    <row r="217" spans="1:8" ht="23.25" x14ac:dyDescent="0.5">
      <c r="A217" s="349" t="s">
        <v>700</v>
      </c>
      <c r="B217" s="346">
        <v>13230453</v>
      </c>
      <c r="C217" s="618"/>
      <c r="D217" s="619">
        <v>33238</v>
      </c>
      <c r="E217" s="353"/>
      <c r="F217" s="337"/>
    </row>
    <row r="218" spans="1:8" ht="23.25" x14ac:dyDescent="0.5">
      <c r="A218" s="349" t="s">
        <v>701</v>
      </c>
      <c r="B218" s="346">
        <v>16258066</v>
      </c>
      <c r="C218" s="618"/>
      <c r="D218" s="619">
        <v>500</v>
      </c>
      <c r="E218" s="353"/>
      <c r="F218" s="337"/>
    </row>
    <row r="219" spans="1:8" ht="23.25" x14ac:dyDescent="0.5">
      <c r="A219" s="349" t="s">
        <v>705</v>
      </c>
      <c r="B219" s="346">
        <v>16258075</v>
      </c>
      <c r="C219" s="618"/>
      <c r="D219" s="619">
        <v>122327.8</v>
      </c>
      <c r="E219" s="353"/>
      <c r="F219" s="337"/>
    </row>
    <row r="220" spans="1:8" ht="23.25" x14ac:dyDescent="0.5">
      <c r="A220" s="349"/>
      <c r="B220" s="346">
        <v>16258078</v>
      </c>
      <c r="C220" s="618"/>
      <c r="D220" s="619">
        <v>3500</v>
      </c>
      <c r="E220" s="353"/>
      <c r="F220" s="337"/>
    </row>
    <row r="221" spans="1:8" ht="23.25" x14ac:dyDescent="0.5">
      <c r="A221" s="349" t="s">
        <v>706</v>
      </c>
      <c r="B221" s="346">
        <v>16258088</v>
      </c>
      <c r="C221" s="618"/>
      <c r="D221" s="619">
        <v>2345</v>
      </c>
      <c r="E221" s="353"/>
      <c r="F221" s="337"/>
    </row>
    <row r="222" spans="1:8" ht="23.25" x14ac:dyDescent="0.5">
      <c r="A222" s="349"/>
      <c r="B222" s="346"/>
      <c r="C222" s="347"/>
      <c r="D222" s="348"/>
      <c r="E222" s="353"/>
      <c r="F222" s="337"/>
    </row>
    <row r="223" spans="1:8" s="418" customFormat="1" ht="24" thickBot="1" x14ac:dyDescent="0.55000000000000004">
      <c r="A223" s="345"/>
      <c r="B223" s="346"/>
      <c r="C223" s="356" t="s">
        <v>151</v>
      </c>
      <c r="D223" s="620">
        <f>SUM(D213:D222)</f>
        <v>168573.8</v>
      </c>
      <c r="E223" s="353">
        <f>+D223</f>
        <v>168573.8</v>
      </c>
      <c r="F223" s="337"/>
    </row>
    <row r="224" spans="1:8" s="418" customFormat="1" ht="24" thickTop="1" x14ac:dyDescent="0.5">
      <c r="A224" s="357" t="s">
        <v>407</v>
      </c>
      <c r="B224" s="336"/>
      <c r="C224" s="342"/>
      <c r="D224" s="348"/>
      <c r="E224" s="353"/>
      <c r="F224" s="337"/>
    </row>
    <row r="225" spans="1:6" s="418" customFormat="1" ht="23.25" x14ac:dyDescent="0.5">
      <c r="A225" s="339" t="s">
        <v>695</v>
      </c>
      <c r="B225" s="615"/>
      <c r="C225" s="336"/>
      <c r="D225" s="337"/>
      <c r="E225" s="338">
        <v>140</v>
      </c>
      <c r="F225" s="337"/>
    </row>
    <row r="226" spans="1:6" s="418" customFormat="1" ht="23.25" x14ac:dyDescent="0.5">
      <c r="A226" s="340" t="s">
        <v>408</v>
      </c>
      <c r="B226" s="336"/>
      <c r="C226" s="336"/>
      <c r="D226" s="337"/>
      <c r="E226" s="419"/>
      <c r="F226" s="337"/>
    </row>
    <row r="227" spans="1:6" s="418" customFormat="1" ht="23.25" x14ac:dyDescent="0.5">
      <c r="A227" s="890" t="s">
        <v>679</v>
      </c>
      <c r="B227" s="891"/>
      <c r="C227" s="891"/>
      <c r="D227" s="892"/>
      <c r="E227" s="361">
        <v>2</v>
      </c>
      <c r="F227" s="616"/>
    </row>
    <row r="228" spans="1:6" s="418" customFormat="1" ht="24" thickBot="1" x14ac:dyDescent="0.55000000000000004">
      <c r="A228" s="359" t="s">
        <v>707</v>
      </c>
      <c r="B228" s="324"/>
      <c r="C228" s="371"/>
      <c r="D228" s="355"/>
      <c r="E228" s="362">
        <f>+E208-E223-E227-E225</f>
        <v>7517488.9000000004</v>
      </c>
      <c r="F228" s="363"/>
    </row>
    <row r="229" spans="1:6" s="418" customFormat="1" ht="16.5" customHeight="1" thickTop="1" x14ac:dyDescent="0.5">
      <c r="A229" s="364"/>
      <c r="B229" s="365"/>
      <c r="C229" s="365"/>
      <c r="D229" s="366"/>
      <c r="E229" s="365"/>
      <c r="F229" s="366"/>
    </row>
    <row r="230" spans="1:6" s="418" customFormat="1" ht="21.75" customHeight="1" x14ac:dyDescent="0.5">
      <c r="A230" s="621" t="s">
        <v>409</v>
      </c>
      <c r="B230" s="317"/>
      <c r="C230" s="333"/>
      <c r="D230" s="622" t="s">
        <v>410</v>
      </c>
      <c r="E230" s="323"/>
      <c r="F230" s="623"/>
    </row>
    <row r="231" spans="1:6" s="418" customFormat="1" ht="21.75" customHeight="1" x14ac:dyDescent="0.5">
      <c r="A231" s="624" t="s">
        <v>500</v>
      </c>
      <c r="B231" s="323"/>
      <c r="C231" s="323"/>
      <c r="D231" s="624" t="s">
        <v>501</v>
      </c>
      <c r="E231" s="323"/>
      <c r="F231" s="623"/>
    </row>
    <row r="232" spans="1:6" s="418" customFormat="1" ht="21.75" customHeight="1" x14ac:dyDescent="0.5">
      <c r="A232" s="624" t="s">
        <v>502</v>
      </c>
      <c r="B232" s="323"/>
      <c r="C232" s="623"/>
      <c r="D232" s="624" t="s">
        <v>502</v>
      </c>
      <c r="E232" s="323"/>
      <c r="F232" s="623"/>
    </row>
    <row r="233" spans="1:6" s="418" customFormat="1" ht="18.75" customHeight="1" x14ac:dyDescent="0.5">
      <c r="A233" s="624" t="s">
        <v>411</v>
      </c>
      <c r="B233" s="323"/>
      <c r="C233" s="623"/>
      <c r="D233" s="624" t="s">
        <v>411</v>
      </c>
      <c r="E233" s="323"/>
      <c r="F233" s="623"/>
    </row>
    <row r="234" spans="1:6" s="418" customFormat="1" ht="18.75" customHeight="1" x14ac:dyDescent="0.5">
      <c r="A234" s="624" t="s">
        <v>708</v>
      </c>
      <c r="B234" s="323"/>
      <c r="C234" s="323"/>
      <c r="D234" s="624" t="s">
        <v>708</v>
      </c>
      <c r="E234" s="323"/>
      <c r="F234" s="623"/>
    </row>
    <row r="235" spans="1:6" s="418" customFormat="1" ht="6.75" customHeight="1" x14ac:dyDescent="0.5">
      <c r="A235" s="625"/>
      <c r="B235" s="329"/>
      <c r="C235" s="626"/>
      <c r="D235" s="329"/>
      <c r="E235" s="329"/>
      <c r="F235" s="627"/>
    </row>
    <row r="239" spans="1:6" ht="29.25" x14ac:dyDescent="0.6">
      <c r="A239" s="314" t="s">
        <v>398</v>
      </c>
      <c r="B239" s="315"/>
      <c r="C239" s="316"/>
      <c r="D239" s="317"/>
      <c r="E239" s="318" t="s">
        <v>399</v>
      </c>
      <c r="F239" s="319"/>
    </row>
    <row r="240" spans="1:6" ht="29.25" x14ac:dyDescent="0.6">
      <c r="A240" s="320" t="s">
        <v>400</v>
      </c>
      <c r="B240" s="321"/>
      <c r="C240" s="322"/>
      <c r="D240" s="323"/>
      <c r="E240" s="324" t="s">
        <v>401</v>
      </c>
      <c r="F240" s="325"/>
    </row>
    <row r="241" spans="1:8" ht="16.5" customHeight="1" x14ac:dyDescent="0.6">
      <c r="A241" s="326"/>
      <c r="B241" s="327"/>
      <c r="C241" s="328"/>
      <c r="D241" s="329"/>
      <c r="E241" s="330" t="s">
        <v>13</v>
      </c>
      <c r="F241" s="331"/>
    </row>
    <row r="242" spans="1:8" ht="23.25" x14ac:dyDescent="0.5">
      <c r="A242" s="614"/>
      <c r="B242" s="368"/>
      <c r="C242" s="368"/>
      <c r="D242" s="319"/>
      <c r="E242" s="417" t="s">
        <v>402</v>
      </c>
      <c r="F242" s="319" t="s">
        <v>9</v>
      </c>
    </row>
    <row r="243" spans="1:8" ht="23.25" x14ac:dyDescent="0.5">
      <c r="A243" s="335" t="s">
        <v>709</v>
      </c>
      <c r="B243" s="615"/>
      <c r="C243" s="336"/>
      <c r="D243" s="337"/>
      <c r="E243" s="338">
        <v>6257061.2199999997</v>
      </c>
      <c r="F243" s="337"/>
    </row>
    <row r="244" spans="1:8" ht="23.25" x14ac:dyDescent="0.5">
      <c r="A244" s="339" t="s">
        <v>403</v>
      </c>
      <c r="B244" s="615"/>
      <c r="C244" s="336"/>
      <c r="D244" s="337"/>
      <c r="E244" s="338"/>
      <c r="F244" s="337"/>
    </row>
    <row r="245" spans="1:8" ht="23.25" x14ac:dyDescent="0.5">
      <c r="A245" s="340" t="s">
        <v>404</v>
      </c>
      <c r="B245" s="336"/>
      <c r="C245" s="336"/>
      <c r="D245" s="616"/>
      <c r="E245" s="336"/>
      <c r="F245" s="337"/>
    </row>
    <row r="246" spans="1:8" ht="23.25" x14ac:dyDescent="0.5">
      <c r="A246" s="610"/>
      <c r="B246" s="342"/>
      <c r="C246" s="342"/>
      <c r="D246" s="343"/>
      <c r="E246" s="336"/>
      <c r="F246" s="337"/>
      <c r="H246">
        <v>8</v>
      </c>
    </row>
    <row r="247" spans="1:8" ht="23.25" x14ac:dyDescent="0.5">
      <c r="A247" s="344" t="s">
        <v>405</v>
      </c>
      <c r="B247" s="342" t="s">
        <v>406</v>
      </c>
      <c r="C247" s="342"/>
      <c r="D247" s="343" t="s">
        <v>402</v>
      </c>
      <c r="E247" s="336"/>
      <c r="F247" s="337"/>
    </row>
    <row r="248" spans="1:8" ht="23.25" x14ac:dyDescent="0.5">
      <c r="A248" s="345" t="s">
        <v>499</v>
      </c>
      <c r="B248" s="346">
        <v>6898412</v>
      </c>
      <c r="C248" s="347"/>
      <c r="D248" s="348">
        <v>1000</v>
      </c>
      <c r="E248" s="336"/>
      <c r="F248" s="337"/>
    </row>
    <row r="249" spans="1:8" ht="23.25" x14ac:dyDescent="0.5">
      <c r="A249" s="349" t="s">
        <v>675</v>
      </c>
      <c r="B249" s="346">
        <v>4103302</v>
      </c>
      <c r="C249" s="347"/>
      <c r="D249" s="348">
        <v>3</v>
      </c>
      <c r="E249" s="336"/>
      <c r="F249" s="337"/>
    </row>
    <row r="250" spans="1:8" ht="23.25" x14ac:dyDescent="0.5">
      <c r="A250" s="349" t="s">
        <v>676</v>
      </c>
      <c r="B250" s="346">
        <v>13230209</v>
      </c>
      <c r="C250" s="347"/>
      <c r="D250" s="348">
        <v>1730</v>
      </c>
      <c r="E250" s="353"/>
      <c r="F250" s="337"/>
    </row>
    <row r="251" spans="1:8" ht="23.25" x14ac:dyDescent="0.5">
      <c r="A251" s="349" t="s">
        <v>699</v>
      </c>
      <c r="B251" s="346">
        <v>13230440</v>
      </c>
      <c r="C251" s="618"/>
      <c r="D251" s="619">
        <v>3930</v>
      </c>
      <c r="E251" s="353"/>
      <c r="F251" s="337"/>
    </row>
    <row r="252" spans="1:8" ht="23.25" x14ac:dyDescent="0.5">
      <c r="A252" s="349" t="s">
        <v>700</v>
      </c>
      <c r="B252" s="346">
        <v>13230453</v>
      </c>
      <c r="C252" s="618"/>
      <c r="D252" s="619">
        <v>33238</v>
      </c>
      <c r="E252" s="353"/>
      <c r="F252" s="337"/>
    </row>
    <row r="253" spans="1:8" ht="23.25" x14ac:dyDescent="0.5">
      <c r="A253" s="349" t="s">
        <v>701</v>
      </c>
      <c r="B253" s="346">
        <v>16258066</v>
      </c>
      <c r="C253" s="618"/>
      <c r="D253" s="619">
        <v>500</v>
      </c>
      <c r="E253" s="353"/>
      <c r="F253" s="337"/>
    </row>
    <row r="254" spans="1:8" ht="23.25" x14ac:dyDescent="0.5">
      <c r="A254" s="349" t="s">
        <v>705</v>
      </c>
      <c r="B254" s="346">
        <v>16258075</v>
      </c>
      <c r="C254" s="618"/>
      <c r="D254" s="619">
        <v>122327.8</v>
      </c>
      <c r="E254" s="353"/>
      <c r="F254" s="337"/>
    </row>
    <row r="255" spans="1:8" ht="23.25" x14ac:dyDescent="0.5">
      <c r="A255" s="349"/>
      <c r="B255" s="346">
        <v>16258078</v>
      </c>
      <c r="C255" s="618"/>
      <c r="D255" s="619">
        <v>3500</v>
      </c>
      <c r="E255" s="353"/>
      <c r="F255" s="337"/>
    </row>
    <row r="256" spans="1:8" ht="23.25" x14ac:dyDescent="0.5">
      <c r="A256" s="349" t="s">
        <v>710</v>
      </c>
      <c r="B256" s="346">
        <v>16258107</v>
      </c>
      <c r="C256" s="618"/>
      <c r="D256" s="619">
        <v>91239.18</v>
      </c>
      <c r="E256" s="353"/>
      <c r="F256" s="337"/>
    </row>
    <row r="257" spans="1:6" ht="23.25" x14ac:dyDescent="0.5">
      <c r="A257" s="349"/>
      <c r="B257" s="346"/>
      <c r="C257" s="347"/>
      <c r="D257" s="348"/>
      <c r="E257" s="353"/>
      <c r="F257" s="337"/>
    </row>
    <row r="258" spans="1:6" s="418" customFormat="1" ht="24" thickBot="1" x14ac:dyDescent="0.55000000000000004">
      <c r="A258" s="345"/>
      <c r="B258" s="346"/>
      <c r="C258" s="356" t="s">
        <v>151</v>
      </c>
      <c r="D258" s="620">
        <f>SUM(D248:D257)</f>
        <v>257467.97999999998</v>
      </c>
      <c r="E258" s="353">
        <f>+D258</f>
        <v>257467.97999999998</v>
      </c>
      <c r="F258" s="337"/>
    </row>
    <row r="259" spans="1:6" s="418" customFormat="1" ht="24" thickTop="1" x14ac:dyDescent="0.5">
      <c r="A259" s="357" t="s">
        <v>407</v>
      </c>
      <c r="B259" s="336"/>
      <c r="C259" s="342"/>
      <c r="D259" s="348"/>
      <c r="E259" s="353"/>
      <c r="F259" s="337"/>
    </row>
    <row r="260" spans="1:6" s="418" customFormat="1" ht="23.25" x14ac:dyDescent="0.5">
      <c r="A260" s="339" t="s">
        <v>695</v>
      </c>
      <c r="B260" s="615"/>
      <c r="C260" s="336"/>
      <c r="D260" s="337"/>
      <c r="E260" s="338">
        <v>140</v>
      </c>
      <c r="F260" s="337"/>
    </row>
    <row r="261" spans="1:6" s="418" customFormat="1" ht="23.25" x14ac:dyDescent="0.5">
      <c r="A261" s="340" t="s">
        <v>408</v>
      </c>
      <c r="B261" s="336"/>
      <c r="C261" s="336"/>
      <c r="D261" s="337"/>
      <c r="E261" s="419"/>
      <c r="F261" s="337"/>
    </row>
    <row r="262" spans="1:6" s="418" customFormat="1" ht="23.25" x14ac:dyDescent="0.5">
      <c r="A262" s="890" t="s">
        <v>679</v>
      </c>
      <c r="B262" s="891"/>
      <c r="C262" s="891"/>
      <c r="D262" s="892"/>
      <c r="E262" s="361">
        <v>2</v>
      </c>
      <c r="F262" s="616"/>
    </row>
    <row r="263" spans="1:6" s="418" customFormat="1" ht="24" thickBot="1" x14ac:dyDescent="0.55000000000000004">
      <c r="A263" s="359" t="s">
        <v>711</v>
      </c>
      <c r="B263" s="324"/>
      <c r="C263" s="371"/>
      <c r="D263" s="355"/>
      <c r="E263" s="362">
        <f>+E243-E258-E262-E260</f>
        <v>5999451.2400000002</v>
      </c>
      <c r="F263" s="363"/>
    </row>
    <row r="264" spans="1:6" s="418" customFormat="1" ht="16.5" customHeight="1" thickTop="1" x14ac:dyDescent="0.5">
      <c r="A264" s="364"/>
      <c r="B264" s="365"/>
      <c r="C264" s="365"/>
      <c r="D264" s="366"/>
      <c r="E264" s="365"/>
      <c r="F264" s="366"/>
    </row>
    <row r="265" spans="1:6" s="418" customFormat="1" ht="21.75" customHeight="1" x14ac:dyDescent="0.5">
      <c r="A265" s="367" t="s">
        <v>409</v>
      </c>
      <c r="B265" s="368"/>
      <c r="C265" s="319"/>
      <c r="D265" s="369" t="s">
        <v>410</v>
      </c>
      <c r="E265" s="336"/>
      <c r="F265" s="337"/>
    </row>
    <row r="266" spans="1:6" s="418" customFormat="1" ht="21.75" customHeight="1" x14ac:dyDescent="0.5">
      <c r="A266" s="335" t="s">
        <v>500</v>
      </c>
      <c r="B266" s="336"/>
      <c r="C266" s="336"/>
      <c r="D266" s="335" t="s">
        <v>501</v>
      </c>
      <c r="E266" s="336"/>
      <c r="F266" s="337"/>
    </row>
    <row r="267" spans="1:6" s="418" customFormat="1" ht="21.75" customHeight="1" x14ac:dyDescent="0.5">
      <c r="A267" s="335" t="s">
        <v>502</v>
      </c>
      <c r="B267" s="336"/>
      <c r="C267" s="337"/>
      <c r="D267" s="335" t="s">
        <v>502</v>
      </c>
      <c r="E267" s="336"/>
      <c r="F267" s="337"/>
    </row>
    <row r="268" spans="1:6" s="418" customFormat="1" ht="18.75" customHeight="1" x14ac:dyDescent="0.5">
      <c r="A268" s="335" t="s">
        <v>411</v>
      </c>
      <c r="B268" s="336"/>
      <c r="C268" s="337"/>
      <c r="D268" s="335" t="s">
        <v>411</v>
      </c>
      <c r="E268" s="336"/>
      <c r="F268" s="337"/>
    </row>
    <row r="269" spans="1:6" s="418" customFormat="1" ht="18.75" customHeight="1" x14ac:dyDescent="0.5">
      <c r="A269" s="335" t="s">
        <v>712</v>
      </c>
      <c r="B269" s="323"/>
      <c r="C269" s="323"/>
      <c r="D269" s="335" t="s">
        <v>712</v>
      </c>
      <c r="E269" s="323"/>
      <c r="F269" s="623"/>
    </row>
    <row r="270" spans="1:6" s="418" customFormat="1" ht="6.75" customHeight="1" x14ac:dyDescent="0.5">
      <c r="A270" s="625"/>
      <c r="B270" s="329"/>
      <c r="C270" s="626"/>
      <c r="D270" s="329"/>
      <c r="E270" s="329"/>
      <c r="F270" s="627"/>
    </row>
    <row r="276" spans="1:8" ht="29.25" x14ac:dyDescent="0.6">
      <c r="A276" s="314" t="s">
        <v>398</v>
      </c>
      <c r="B276" s="315"/>
      <c r="C276" s="316"/>
      <c r="D276" s="317"/>
      <c r="E276" s="318" t="s">
        <v>399</v>
      </c>
      <c r="F276" s="319"/>
    </row>
    <row r="277" spans="1:8" ht="29.25" x14ac:dyDescent="0.6">
      <c r="A277" s="320" t="s">
        <v>400</v>
      </c>
      <c r="B277" s="321"/>
      <c r="C277" s="322"/>
      <c r="D277" s="323"/>
      <c r="E277" s="324" t="s">
        <v>401</v>
      </c>
      <c r="F277" s="325"/>
    </row>
    <row r="278" spans="1:8" ht="16.5" customHeight="1" x14ac:dyDescent="0.6">
      <c r="A278" s="326"/>
      <c r="B278" s="327"/>
      <c r="C278" s="328"/>
      <c r="D278" s="329"/>
      <c r="E278" s="330" t="s">
        <v>13</v>
      </c>
      <c r="F278" s="331"/>
    </row>
    <row r="279" spans="1:8" ht="23.25" x14ac:dyDescent="0.5">
      <c r="A279" s="614"/>
      <c r="B279" s="368"/>
      <c r="C279" s="368"/>
      <c r="D279" s="319"/>
      <c r="E279" s="417" t="s">
        <v>402</v>
      </c>
      <c r="F279" s="319" t="s">
        <v>9</v>
      </c>
    </row>
    <row r="280" spans="1:8" ht="23.25" x14ac:dyDescent="0.5">
      <c r="A280" s="335" t="s">
        <v>713</v>
      </c>
      <c r="B280" s="615"/>
      <c r="C280" s="336"/>
      <c r="D280" s="337"/>
      <c r="E280" s="338">
        <v>7444572.5300000003</v>
      </c>
      <c r="F280" s="337"/>
    </row>
    <row r="281" spans="1:8" ht="23.25" x14ac:dyDescent="0.5">
      <c r="A281" s="339" t="s">
        <v>403</v>
      </c>
      <c r="B281" s="615"/>
      <c r="C281" s="336"/>
      <c r="D281" s="337"/>
      <c r="E281" s="338"/>
      <c r="F281" s="337"/>
    </row>
    <row r="282" spans="1:8" ht="23.25" x14ac:dyDescent="0.5">
      <c r="A282" s="340" t="s">
        <v>404</v>
      </c>
      <c r="B282" s="336"/>
      <c r="C282" s="336"/>
      <c r="D282" s="616"/>
      <c r="E282" s="336"/>
      <c r="F282" s="337"/>
    </row>
    <row r="283" spans="1:8" ht="23.25" x14ac:dyDescent="0.5">
      <c r="A283" s="610"/>
      <c r="B283" s="342"/>
      <c r="C283" s="342"/>
      <c r="D283" s="343"/>
      <c r="E283" s="336"/>
      <c r="F283" s="337"/>
      <c r="H283">
        <v>9</v>
      </c>
    </row>
    <row r="284" spans="1:8" ht="23.25" x14ac:dyDescent="0.5">
      <c r="A284" s="344" t="s">
        <v>405</v>
      </c>
      <c r="B284" s="342" t="s">
        <v>406</v>
      </c>
      <c r="C284" s="342"/>
      <c r="D284" s="343" t="s">
        <v>402</v>
      </c>
      <c r="E284" s="336"/>
      <c r="F284" s="337"/>
    </row>
    <row r="285" spans="1:8" ht="23.25" x14ac:dyDescent="0.5">
      <c r="A285" s="345" t="s">
        <v>499</v>
      </c>
      <c r="B285" s="346">
        <v>6898412</v>
      </c>
      <c r="C285" s="347"/>
      <c r="D285" s="348">
        <v>1000</v>
      </c>
      <c r="E285" s="336"/>
      <c r="F285" s="337"/>
    </row>
    <row r="286" spans="1:8" ht="23.25" x14ac:dyDescent="0.5">
      <c r="A286" s="349" t="s">
        <v>675</v>
      </c>
      <c r="B286" s="346">
        <v>4103302</v>
      </c>
      <c r="C286" s="347"/>
      <c r="D286" s="348">
        <v>3</v>
      </c>
      <c r="E286" s="336"/>
      <c r="F286" s="337"/>
    </row>
    <row r="287" spans="1:8" ht="23.25" x14ac:dyDescent="0.5">
      <c r="A287" s="349" t="s">
        <v>676</v>
      </c>
      <c r="B287" s="346">
        <v>13230209</v>
      </c>
      <c r="C287" s="347"/>
      <c r="D287" s="348">
        <v>1730</v>
      </c>
      <c r="E287" s="353"/>
      <c r="F287" s="337"/>
    </row>
    <row r="288" spans="1:8" ht="23.25" x14ac:dyDescent="0.5">
      <c r="A288" s="349" t="s">
        <v>700</v>
      </c>
      <c r="B288" s="346">
        <v>13230453</v>
      </c>
      <c r="C288" s="618"/>
      <c r="D288" s="619">
        <v>33238</v>
      </c>
      <c r="E288" s="353"/>
      <c r="F288" s="337"/>
    </row>
    <row r="289" spans="1:6" ht="23.25" x14ac:dyDescent="0.5">
      <c r="A289" s="349" t="s">
        <v>714</v>
      </c>
      <c r="B289" s="346">
        <v>16258116</v>
      </c>
      <c r="C289" s="618"/>
      <c r="D289" s="619">
        <v>340</v>
      </c>
      <c r="E289" s="353"/>
      <c r="F289" s="337"/>
    </row>
    <row r="290" spans="1:6" ht="23.25" x14ac:dyDescent="0.5">
      <c r="A290" s="349" t="s">
        <v>715</v>
      </c>
      <c r="B290" s="346">
        <v>16285137</v>
      </c>
      <c r="C290" s="618"/>
      <c r="D290" s="619">
        <v>50985</v>
      </c>
      <c r="E290" s="353"/>
      <c r="F290" s="337"/>
    </row>
    <row r="291" spans="1:6" ht="23.25" x14ac:dyDescent="0.5">
      <c r="A291" s="349"/>
      <c r="B291" s="346"/>
      <c r="C291" s="618"/>
      <c r="D291" s="619"/>
      <c r="E291" s="353"/>
      <c r="F291" s="337"/>
    </row>
    <row r="292" spans="1:6" ht="23.25" x14ac:dyDescent="0.5">
      <c r="A292" s="349"/>
      <c r="B292" s="346"/>
      <c r="C292" s="618"/>
      <c r="D292" s="619"/>
      <c r="E292" s="353"/>
      <c r="F292" s="337"/>
    </row>
    <row r="293" spans="1:6" ht="23.25" x14ac:dyDescent="0.5">
      <c r="A293" s="349"/>
      <c r="B293" s="346"/>
      <c r="C293" s="618"/>
      <c r="D293" s="619"/>
      <c r="E293" s="353"/>
      <c r="F293" s="337"/>
    </row>
    <row r="294" spans="1:6" ht="23.25" x14ac:dyDescent="0.5">
      <c r="A294" s="349"/>
      <c r="B294" s="346"/>
      <c r="C294" s="347"/>
      <c r="D294" s="348"/>
      <c r="E294" s="353"/>
      <c r="F294" s="337"/>
    </row>
    <row r="295" spans="1:6" s="418" customFormat="1" ht="24" thickBot="1" x14ac:dyDescent="0.55000000000000004">
      <c r="A295" s="345"/>
      <c r="B295" s="346"/>
      <c r="C295" s="356" t="s">
        <v>151</v>
      </c>
      <c r="D295" s="620">
        <f>SUM(D285:D294)</f>
        <v>87296</v>
      </c>
      <c r="E295" s="353">
        <f>+D295</f>
        <v>87296</v>
      </c>
      <c r="F295" s="337"/>
    </row>
    <row r="296" spans="1:6" s="418" customFormat="1" ht="24" thickTop="1" x14ac:dyDescent="0.5">
      <c r="A296" s="357" t="s">
        <v>407</v>
      </c>
      <c r="B296" s="336"/>
      <c r="C296" s="342"/>
      <c r="D296" s="348"/>
      <c r="E296" s="353"/>
      <c r="F296" s="337"/>
    </row>
    <row r="297" spans="1:6" s="418" customFormat="1" ht="23.25" x14ac:dyDescent="0.5">
      <c r="A297" s="339" t="s">
        <v>716</v>
      </c>
      <c r="B297" s="615"/>
      <c r="C297" s="336"/>
      <c r="D297" s="337"/>
      <c r="E297" s="338">
        <v>140</v>
      </c>
      <c r="F297" s="337"/>
    </row>
    <row r="298" spans="1:6" s="418" customFormat="1" ht="23.25" x14ac:dyDescent="0.5">
      <c r="A298" s="340" t="s">
        <v>408</v>
      </c>
      <c r="B298" s="336"/>
      <c r="C298" s="336"/>
      <c r="D298" s="337"/>
      <c r="E298" s="419"/>
      <c r="F298" s="337"/>
    </row>
    <row r="299" spans="1:6" s="418" customFormat="1" ht="23.25" x14ac:dyDescent="0.5">
      <c r="A299" s="890" t="s">
        <v>679</v>
      </c>
      <c r="B299" s="891"/>
      <c r="C299" s="891"/>
      <c r="D299" s="892"/>
      <c r="E299" s="361">
        <v>2</v>
      </c>
      <c r="F299" s="616"/>
    </row>
    <row r="300" spans="1:6" s="418" customFormat="1" ht="24" thickBot="1" x14ac:dyDescent="0.55000000000000004">
      <c r="A300" s="359" t="s">
        <v>717</v>
      </c>
      <c r="B300" s="324"/>
      <c r="C300" s="371"/>
      <c r="D300" s="355"/>
      <c r="E300" s="362">
        <f>+E280-E295-E299-E297</f>
        <v>7357134.5300000003</v>
      </c>
      <c r="F300" s="363"/>
    </row>
    <row r="301" spans="1:6" s="418" customFormat="1" ht="16.5" customHeight="1" thickTop="1" x14ac:dyDescent="0.5">
      <c r="A301" s="364"/>
      <c r="B301" s="365"/>
      <c r="C301" s="365"/>
      <c r="D301" s="366"/>
      <c r="E301" s="365"/>
      <c r="F301" s="366"/>
    </row>
    <row r="302" spans="1:6" s="418" customFormat="1" ht="21.75" customHeight="1" x14ac:dyDescent="0.5">
      <c r="A302" s="367" t="s">
        <v>409</v>
      </c>
      <c r="B302" s="368"/>
      <c r="C302" s="319"/>
      <c r="D302" s="369" t="s">
        <v>410</v>
      </c>
      <c r="E302" s="336"/>
      <c r="F302" s="337"/>
    </row>
    <row r="303" spans="1:6" s="418" customFormat="1" ht="21.75" customHeight="1" x14ac:dyDescent="0.5">
      <c r="A303" s="335" t="s">
        <v>500</v>
      </c>
      <c r="B303" s="336"/>
      <c r="C303" s="336"/>
      <c r="D303" s="335" t="s">
        <v>501</v>
      </c>
      <c r="E303" s="336"/>
      <c r="F303" s="337"/>
    </row>
    <row r="304" spans="1:6" s="418" customFormat="1" ht="21.75" customHeight="1" x14ac:dyDescent="0.5">
      <c r="A304" s="335" t="s">
        <v>502</v>
      </c>
      <c r="B304" s="336"/>
      <c r="C304" s="337"/>
      <c r="D304" s="335" t="s">
        <v>502</v>
      </c>
      <c r="E304" s="336"/>
      <c r="F304" s="337"/>
    </row>
    <row r="305" spans="1:8" s="418" customFormat="1" ht="18.75" customHeight="1" x14ac:dyDescent="0.5">
      <c r="A305" s="335" t="s">
        <v>411</v>
      </c>
      <c r="B305" s="336"/>
      <c r="C305" s="337"/>
      <c r="D305" s="335" t="s">
        <v>411</v>
      </c>
      <c r="E305" s="336"/>
      <c r="F305" s="337"/>
    </row>
    <row r="306" spans="1:8" s="418" customFormat="1" ht="18.75" customHeight="1" x14ac:dyDescent="0.5">
      <c r="A306" s="335" t="s">
        <v>718</v>
      </c>
      <c r="B306" s="323"/>
      <c r="C306" s="323"/>
      <c r="D306" s="335" t="s">
        <v>718</v>
      </c>
      <c r="E306" s="323"/>
      <c r="F306" s="623"/>
    </row>
    <row r="307" spans="1:8" s="418" customFormat="1" ht="6.75" customHeight="1" x14ac:dyDescent="0.5">
      <c r="A307" s="625"/>
      <c r="B307" s="329"/>
      <c r="C307" s="626"/>
      <c r="D307" s="329"/>
      <c r="E307" s="329"/>
      <c r="F307" s="627"/>
    </row>
    <row r="312" spans="1:8" ht="29.25" x14ac:dyDescent="0.6">
      <c r="A312" s="314" t="s">
        <v>398</v>
      </c>
      <c r="B312" s="315"/>
      <c r="C312" s="316"/>
      <c r="D312" s="317"/>
      <c r="E312" s="318" t="s">
        <v>399</v>
      </c>
      <c r="F312" s="319"/>
    </row>
    <row r="313" spans="1:8" ht="29.25" x14ac:dyDescent="0.6">
      <c r="A313" s="320" t="s">
        <v>400</v>
      </c>
      <c r="B313" s="321"/>
      <c r="C313" s="322"/>
      <c r="D313" s="323"/>
      <c r="E313" s="324" t="s">
        <v>401</v>
      </c>
      <c r="F313" s="325"/>
    </row>
    <row r="314" spans="1:8" ht="16.5" customHeight="1" x14ac:dyDescent="0.6">
      <c r="A314" s="326"/>
      <c r="B314" s="327"/>
      <c r="C314" s="328"/>
      <c r="D314" s="329"/>
      <c r="E314" s="330" t="s">
        <v>13</v>
      </c>
      <c r="F314" s="331"/>
    </row>
    <row r="315" spans="1:8" ht="23.25" x14ac:dyDescent="0.5">
      <c r="A315" s="614"/>
      <c r="B315" s="368"/>
      <c r="C315" s="368"/>
      <c r="D315" s="319"/>
      <c r="E315" s="417" t="s">
        <v>402</v>
      </c>
      <c r="F315" s="319" t="s">
        <v>9</v>
      </c>
    </row>
    <row r="316" spans="1:8" ht="23.25" x14ac:dyDescent="0.5">
      <c r="A316" s="335" t="s">
        <v>719</v>
      </c>
      <c r="B316" s="615"/>
      <c r="C316" s="336"/>
      <c r="D316" s="337"/>
      <c r="E316" s="338">
        <v>5531933.7000000002</v>
      </c>
      <c r="F316" s="337"/>
    </row>
    <row r="317" spans="1:8" ht="23.25" x14ac:dyDescent="0.5">
      <c r="A317" s="339" t="s">
        <v>403</v>
      </c>
      <c r="B317" s="615"/>
      <c r="C317" s="336"/>
      <c r="D317" s="337"/>
      <c r="E317" s="338"/>
      <c r="F317" s="337"/>
    </row>
    <row r="318" spans="1:8" ht="23.25" x14ac:dyDescent="0.5">
      <c r="A318" s="340" t="s">
        <v>404</v>
      </c>
      <c r="B318" s="336"/>
      <c r="C318" s="336"/>
      <c r="D318" s="616"/>
      <c r="E318" s="336"/>
      <c r="F318" s="337"/>
    </row>
    <row r="319" spans="1:8" ht="23.25" x14ac:dyDescent="0.5">
      <c r="A319" s="610"/>
      <c r="B319" s="342"/>
      <c r="C319" s="342"/>
      <c r="D319" s="343"/>
      <c r="E319" s="336"/>
      <c r="F319" s="337"/>
      <c r="H319">
        <v>10</v>
      </c>
    </row>
    <row r="320" spans="1:8" ht="23.25" x14ac:dyDescent="0.5">
      <c r="A320" s="344" t="s">
        <v>405</v>
      </c>
      <c r="B320" s="342" t="s">
        <v>406</v>
      </c>
      <c r="C320" s="342"/>
      <c r="D320" s="343" t="s">
        <v>402</v>
      </c>
      <c r="E320" s="336"/>
      <c r="F320" s="337"/>
    </row>
    <row r="321" spans="1:6" ht="23.25" x14ac:dyDescent="0.5">
      <c r="A321" s="345" t="s">
        <v>499</v>
      </c>
      <c r="B321" s="346">
        <v>6898412</v>
      </c>
      <c r="C321" s="347"/>
      <c r="D321" s="348">
        <v>1000</v>
      </c>
      <c r="E321" s="336"/>
      <c r="F321" s="337"/>
    </row>
    <row r="322" spans="1:6" ht="23.25" x14ac:dyDescent="0.5">
      <c r="A322" s="349" t="s">
        <v>675</v>
      </c>
      <c r="B322" s="346">
        <v>4103302</v>
      </c>
      <c r="C322" s="347"/>
      <c r="D322" s="348">
        <v>3</v>
      </c>
      <c r="E322" s="336"/>
      <c r="F322" s="337"/>
    </row>
    <row r="323" spans="1:6" ht="23.25" x14ac:dyDescent="0.5">
      <c r="A323" s="349" t="s">
        <v>676</v>
      </c>
      <c r="B323" s="346">
        <v>13230209</v>
      </c>
      <c r="C323" s="347"/>
      <c r="D323" s="348">
        <v>1730</v>
      </c>
      <c r="E323" s="353"/>
      <c r="F323" s="337"/>
    </row>
    <row r="324" spans="1:6" ht="23.25" x14ac:dyDescent="0.5">
      <c r="A324" s="349" t="s">
        <v>720</v>
      </c>
      <c r="B324" s="346">
        <v>16258152</v>
      </c>
      <c r="C324" s="618"/>
      <c r="D324" s="619">
        <v>3500</v>
      </c>
      <c r="E324" s="353"/>
      <c r="F324" s="337"/>
    </row>
    <row r="325" spans="1:6" ht="23.25" x14ac:dyDescent="0.5">
      <c r="A325" s="349" t="s">
        <v>721</v>
      </c>
      <c r="B325" s="346">
        <v>16258157</v>
      </c>
      <c r="C325" s="618"/>
      <c r="D325" s="619">
        <v>36951.4</v>
      </c>
      <c r="E325" s="353"/>
      <c r="F325" s="337"/>
    </row>
    <row r="326" spans="1:6" ht="23.25" x14ac:dyDescent="0.5">
      <c r="A326" s="349" t="s">
        <v>722</v>
      </c>
      <c r="B326" s="346">
        <v>16258161</v>
      </c>
      <c r="C326" s="618"/>
      <c r="D326" s="619">
        <v>51406.080000000002</v>
      </c>
      <c r="E326" s="353"/>
      <c r="F326" s="337"/>
    </row>
    <row r="327" spans="1:6" ht="23.25" x14ac:dyDescent="0.5">
      <c r="A327" s="349"/>
      <c r="B327" s="346">
        <v>16258163</v>
      </c>
      <c r="C327" s="618"/>
      <c r="D327" s="619">
        <v>500</v>
      </c>
      <c r="E327" s="353"/>
      <c r="F327" s="337"/>
    </row>
    <row r="328" spans="1:6" ht="23.25" x14ac:dyDescent="0.5">
      <c r="A328" s="349"/>
      <c r="B328" s="346"/>
      <c r="C328" s="618"/>
      <c r="D328" s="619"/>
      <c r="E328" s="353"/>
      <c r="F328" s="337"/>
    </row>
    <row r="329" spans="1:6" ht="23.25" x14ac:dyDescent="0.5">
      <c r="A329" s="349"/>
      <c r="B329" s="346"/>
      <c r="C329" s="618"/>
      <c r="D329" s="619"/>
      <c r="E329" s="353"/>
      <c r="F329" s="337"/>
    </row>
    <row r="330" spans="1:6" ht="23.25" x14ac:dyDescent="0.5">
      <c r="A330" s="349"/>
      <c r="B330" s="346"/>
      <c r="C330" s="618"/>
      <c r="D330" s="619"/>
      <c r="E330" s="353"/>
      <c r="F330" s="337"/>
    </row>
    <row r="331" spans="1:6" ht="23.25" x14ac:dyDescent="0.5">
      <c r="A331" s="349"/>
      <c r="B331" s="346"/>
      <c r="C331" s="347"/>
      <c r="D331" s="348"/>
      <c r="E331" s="353"/>
      <c r="F331" s="337"/>
    </row>
    <row r="332" spans="1:6" s="418" customFormat="1" ht="24" thickBot="1" x14ac:dyDescent="0.55000000000000004">
      <c r="A332" s="345"/>
      <c r="B332" s="346"/>
      <c r="C332" s="356" t="s">
        <v>151</v>
      </c>
      <c r="D332" s="620">
        <f>SUM(D321:D331)</f>
        <v>95090.48000000001</v>
      </c>
      <c r="E332" s="353">
        <f>+D332</f>
        <v>95090.48000000001</v>
      </c>
      <c r="F332" s="337"/>
    </row>
    <row r="333" spans="1:6" s="418" customFormat="1" ht="24" thickTop="1" x14ac:dyDescent="0.5">
      <c r="A333" s="357" t="s">
        <v>407</v>
      </c>
      <c r="B333" s="336"/>
      <c r="C333" s="342"/>
      <c r="D333" s="348"/>
      <c r="E333" s="353"/>
      <c r="F333" s="337"/>
    </row>
    <row r="334" spans="1:6" s="418" customFormat="1" ht="23.25" x14ac:dyDescent="0.5">
      <c r="A334" s="339" t="s">
        <v>716</v>
      </c>
      <c r="B334" s="615"/>
      <c r="C334" s="336"/>
      <c r="D334" s="337"/>
      <c r="E334" s="338">
        <v>140</v>
      </c>
      <c r="F334" s="337"/>
    </row>
    <row r="335" spans="1:6" s="418" customFormat="1" ht="23.25" x14ac:dyDescent="0.5">
      <c r="A335" s="340" t="s">
        <v>408</v>
      </c>
      <c r="B335" s="336"/>
      <c r="C335" s="336"/>
      <c r="D335" s="337"/>
      <c r="E335" s="419"/>
      <c r="F335" s="337"/>
    </row>
    <row r="336" spans="1:6" s="418" customFormat="1" ht="23.25" x14ac:dyDescent="0.5">
      <c r="A336" s="890" t="s">
        <v>679</v>
      </c>
      <c r="B336" s="891"/>
      <c r="C336" s="891"/>
      <c r="D336" s="892"/>
      <c r="E336" s="361">
        <v>2</v>
      </c>
      <c r="F336" s="616"/>
    </row>
    <row r="337" spans="1:6" s="418" customFormat="1" ht="24" thickBot="1" x14ac:dyDescent="0.55000000000000004">
      <c r="A337" s="359" t="s">
        <v>723</v>
      </c>
      <c r="B337" s="324"/>
      <c r="C337" s="371"/>
      <c r="D337" s="355"/>
      <c r="E337" s="362">
        <f>+E316-E332-E336-E334</f>
        <v>5436701.2199999997</v>
      </c>
      <c r="F337" s="363"/>
    </row>
    <row r="338" spans="1:6" s="418" customFormat="1" ht="16.5" customHeight="1" thickTop="1" x14ac:dyDescent="0.5">
      <c r="A338" s="364"/>
      <c r="B338" s="365"/>
      <c r="C338" s="365"/>
      <c r="D338" s="366"/>
      <c r="E338" s="365"/>
      <c r="F338" s="366"/>
    </row>
    <row r="339" spans="1:6" s="418" customFormat="1" ht="21.75" customHeight="1" x14ac:dyDescent="0.5">
      <c r="A339" s="367" t="s">
        <v>409</v>
      </c>
      <c r="B339" s="368"/>
      <c r="C339" s="319"/>
      <c r="D339" s="369" t="s">
        <v>410</v>
      </c>
      <c r="E339" s="336"/>
      <c r="F339" s="337"/>
    </row>
    <row r="340" spans="1:6" s="418" customFormat="1" ht="21.75" customHeight="1" x14ac:dyDescent="0.5">
      <c r="A340" s="335" t="s">
        <v>500</v>
      </c>
      <c r="B340" s="336"/>
      <c r="C340" s="336"/>
      <c r="D340" s="335" t="s">
        <v>501</v>
      </c>
      <c r="E340" s="336"/>
      <c r="F340" s="337"/>
    </row>
    <row r="341" spans="1:6" s="418" customFormat="1" ht="21.75" customHeight="1" x14ac:dyDescent="0.5">
      <c r="A341" s="335" t="s">
        <v>502</v>
      </c>
      <c r="B341" s="336"/>
      <c r="C341" s="337"/>
      <c r="D341" s="335" t="s">
        <v>502</v>
      </c>
      <c r="E341" s="336"/>
      <c r="F341" s="337"/>
    </row>
    <row r="342" spans="1:6" s="418" customFormat="1" ht="18.75" customHeight="1" x14ac:dyDescent="0.5">
      <c r="A342" s="335" t="s">
        <v>411</v>
      </c>
      <c r="B342" s="336"/>
      <c r="C342" s="337"/>
      <c r="D342" s="335" t="s">
        <v>411</v>
      </c>
      <c r="E342" s="336"/>
      <c r="F342" s="337"/>
    </row>
    <row r="343" spans="1:6" s="418" customFormat="1" ht="18.75" customHeight="1" x14ac:dyDescent="0.5">
      <c r="A343" s="335" t="s">
        <v>724</v>
      </c>
      <c r="B343" s="323"/>
      <c r="C343" s="323"/>
      <c r="D343" s="335" t="s">
        <v>725</v>
      </c>
      <c r="E343" s="323"/>
      <c r="F343" s="623"/>
    </row>
    <row r="344" spans="1:6" s="418" customFormat="1" ht="6.75" customHeight="1" x14ac:dyDescent="0.5">
      <c r="A344" s="625"/>
      <c r="B344" s="329"/>
      <c r="C344" s="626"/>
      <c r="D344" s="329"/>
      <c r="E344" s="329"/>
      <c r="F344" s="627"/>
    </row>
    <row r="346" spans="1:6" ht="29.25" x14ac:dyDescent="0.6">
      <c r="A346" s="314" t="s">
        <v>398</v>
      </c>
      <c r="B346" s="315"/>
      <c r="C346" s="316"/>
      <c r="D346" s="317"/>
      <c r="E346" s="318" t="s">
        <v>399</v>
      </c>
      <c r="F346" s="319"/>
    </row>
    <row r="347" spans="1:6" ht="29.25" x14ac:dyDescent="0.6">
      <c r="A347" s="320" t="s">
        <v>400</v>
      </c>
      <c r="B347" s="321"/>
      <c r="C347" s="322"/>
      <c r="D347" s="323"/>
      <c r="E347" s="324" t="s">
        <v>401</v>
      </c>
      <c r="F347" s="325"/>
    </row>
    <row r="348" spans="1:6" ht="17.25" customHeight="1" x14ac:dyDescent="0.6">
      <c r="A348" s="326"/>
      <c r="B348" s="327"/>
      <c r="C348" s="328"/>
      <c r="D348" s="329"/>
      <c r="E348" s="330" t="s">
        <v>13</v>
      </c>
      <c r="F348" s="331"/>
    </row>
    <row r="349" spans="1:6" ht="23.25" x14ac:dyDescent="0.5">
      <c r="A349" s="614"/>
      <c r="B349" s="368"/>
      <c r="C349" s="368"/>
      <c r="D349" s="319"/>
      <c r="E349" s="417" t="s">
        <v>402</v>
      </c>
      <c r="F349" s="319" t="s">
        <v>9</v>
      </c>
    </row>
    <row r="350" spans="1:6" ht="23.25" x14ac:dyDescent="0.5">
      <c r="A350" s="335" t="s">
        <v>726</v>
      </c>
      <c r="B350" s="615"/>
      <c r="C350" s="336"/>
      <c r="D350" s="337"/>
      <c r="E350" s="338">
        <v>4405283.59</v>
      </c>
      <c r="F350" s="337"/>
    </row>
    <row r="351" spans="1:6" ht="23.25" x14ac:dyDescent="0.5">
      <c r="A351" s="339" t="s">
        <v>403</v>
      </c>
      <c r="B351" s="615"/>
      <c r="C351" s="336"/>
      <c r="D351" s="337"/>
      <c r="E351" s="338"/>
      <c r="F351" s="337"/>
    </row>
    <row r="352" spans="1:6" ht="23.25" x14ac:dyDescent="0.5">
      <c r="A352" s="340" t="s">
        <v>404</v>
      </c>
      <c r="B352" s="336"/>
      <c r="C352" s="336"/>
      <c r="D352" s="616"/>
      <c r="E352" s="336"/>
      <c r="F352" s="337"/>
    </row>
    <row r="353" spans="1:7" ht="23.25" x14ac:dyDescent="0.5">
      <c r="A353" s="610"/>
      <c r="B353" s="342"/>
      <c r="C353" s="342"/>
      <c r="D353" s="343"/>
      <c r="E353" s="336"/>
      <c r="F353" s="337"/>
    </row>
    <row r="354" spans="1:7" ht="23.25" x14ac:dyDescent="0.5">
      <c r="A354" s="344" t="s">
        <v>405</v>
      </c>
      <c r="B354" s="342" t="s">
        <v>406</v>
      </c>
      <c r="C354" s="342"/>
      <c r="D354" s="343" t="s">
        <v>402</v>
      </c>
      <c r="E354" s="336"/>
      <c r="F354" s="337"/>
    </row>
    <row r="355" spans="1:7" ht="23.25" x14ac:dyDescent="0.5">
      <c r="A355" s="349" t="s">
        <v>722</v>
      </c>
      <c r="B355" s="346">
        <v>16258161</v>
      </c>
      <c r="C355" s="618"/>
      <c r="D355" s="619">
        <v>51406.080000000002</v>
      </c>
      <c r="E355" s="336"/>
      <c r="F355" s="337"/>
    </row>
    <row r="356" spans="1:7" ht="23.25" x14ac:dyDescent="0.5">
      <c r="A356" s="345" t="s">
        <v>727</v>
      </c>
      <c r="B356" s="346">
        <v>16258192</v>
      </c>
      <c r="C356" s="347"/>
      <c r="D356" s="348">
        <v>3500</v>
      </c>
      <c r="E356" s="336"/>
      <c r="F356" s="337"/>
    </row>
    <row r="357" spans="1:7" ht="23.25" x14ac:dyDescent="0.5">
      <c r="A357" s="349"/>
      <c r="B357" s="346">
        <v>16258189</v>
      </c>
      <c r="C357" s="347"/>
      <c r="D357" s="348">
        <v>4500</v>
      </c>
      <c r="E357" s="336"/>
      <c r="F357" s="337"/>
    </row>
    <row r="358" spans="1:7" ht="23.25" x14ac:dyDescent="0.5">
      <c r="A358" s="349"/>
      <c r="B358" s="346">
        <v>16258196</v>
      </c>
      <c r="C358" s="347"/>
      <c r="D358" s="348">
        <v>7338.05</v>
      </c>
      <c r="E358" s="353"/>
      <c r="F358" s="337"/>
      <c r="G358">
        <v>11</v>
      </c>
    </row>
    <row r="359" spans="1:7" ht="23.25" x14ac:dyDescent="0.5">
      <c r="A359" s="349" t="s">
        <v>728</v>
      </c>
      <c r="B359" s="346">
        <v>16258205</v>
      </c>
      <c r="C359" s="618"/>
      <c r="D359" s="619">
        <v>2500</v>
      </c>
      <c r="E359" s="353"/>
      <c r="F359" s="337"/>
    </row>
    <row r="360" spans="1:7" ht="23.25" x14ac:dyDescent="0.5">
      <c r="A360" s="349" t="s">
        <v>729</v>
      </c>
      <c r="B360" s="346">
        <v>16258211</v>
      </c>
      <c r="C360" s="618"/>
      <c r="D360" s="619">
        <v>390</v>
      </c>
      <c r="E360" s="353"/>
      <c r="F360" s="337"/>
    </row>
    <row r="361" spans="1:7" ht="23.25" x14ac:dyDescent="0.5">
      <c r="A361" s="349" t="s">
        <v>730</v>
      </c>
      <c r="B361" s="346">
        <v>16258216</v>
      </c>
      <c r="C361" s="618"/>
      <c r="D361" s="619">
        <v>28039.68</v>
      </c>
      <c r="E361" s="353"/>
      <c r="F361" s="337"/>
    </row>
    <row r="362" spans="1:7" ht="23.25" x14ac:dyDescent="0.5">
      <c r="A362" s="349"/>
      <c r="B362" s="346">
        <v>16258217</v>
      </c>
      <c r="C362" s="618"/>
      <c r="D362" s="619">
        <v>24978</v>
      </c>
      <c r="E362" s="353"/>
      <c r="F362" s="337"/>
    </row>
    <row r="363" spans="1:7" ht="23.25" x14ac:dyDescent="0.5">
      <c r="A363" s="349" t="s">
        <v>731</v>
      </c>
      <c r="B363" s="346">
        <v>16258220</v>
      </c>
      <c r="C363" s="618"/>
      <c r="D363" s="619">
        <v>2950</v>
      </c>
      <c r="E363" s="353"/>
      <c r="F363" s="337"/>
    </row>
    <row r="364" spans="1:7" ht="23.25" x14ac:dyDescent="0.5">
      <c r="A364" s="349"/>
      <c r="B364" s="346">
        <v>16258221</v>
      </c>
      <c r="C364" s="618"/>
      <c r="D364" s="619">
        <v>40616.82</v>
      </c>
      <c r="E364" s="353"/>
      <c r="F364" s="337"/>
    </row>
    <row r="365" spans="1:7" ht="23.25" x14ac:dyDescent="0.5">
      <c r="A365" s="349"/>
      <c r="B365" s="346">
        <v>16258222</v>
      </c>
      <c r="C365" s="618"/>
      <c r="D365" s="619">
        <v>13600</v>
      </c>
      <c r="E365" s="353"/>
      <c r="F365" s="337"/>
    </row>
    <row r="366" spans="1:7" ht="23.25" x14ac:dyDescent="0.5">
      <c r="A366" s="349"/>
      <c r="B366" s="346"/>
      <c r="C366" s="347"/>
      <c r="D366" s="348"/>
      <c r="E366" s="353"/>
      <c r="F366" s="337"/>
    </row>
    <row r="367" spans="1:7" ht="24" thickBot="1" x14ac:dyDescent="0.55000000000000004">
      <c r="A367" s="345"/>
      <c r="B367" s="346"/>
      <c r="C367" s="356" t="s">
        <v>151</v>
      </c>
      <c r="D367" s="620">
        <f>SUM(D355:D366)</f>
        <v>179818.63</v>
      </c>
      <c r="E367" s="353">
        <f>+D367</f>
        <v>179818.63</v>
      </c>
      <c r="F367" s="337"/>
    </row>
    <row r="368" spans="1:7" ht="24" thickTop="1" x14ac:dyDescent="0.5">
      <c r="A368" s="357" t="s">
        <v>407</v>
      </c>
      <c r="B368" s="336"/>
      <c r="C368" s="342"/>
      <c r="D368" s="348"/>
      <c r="E368" s="353"/>
      <c r="F368" s="337"/>
    </row>
    <row r="369" spans="1:6" ht="23.25" x14ac:dyDescent="0.5">
      <c r="A369" s="339"/>
      <c r="B369" s="615"/>
      <c r="C369" s="336"/>
      <c r="D369" s="337"/>
      <c r="E369" s="338"/>
      <c r="F369" s="337"/>
    </row>
    <row r="370" spans="1:6" ht="23.25" x14ac:dyDescent="0.5">
      <c r="A370" s="340" t="s">
        <v>408</v>
      </c>
      <c r="B370" s="336"/>
      <c r="C370" s="336"/>
      <c r="D370" s="337"/>
      <c r="E370" s="419"/>
      <c r="F370" s="337"/>
    </row>
    <row r="371" spans="1:6" ht="23.25" x14ac:dyDescent="0.5">
      <c r="A371" s="890" t="s">
        <v>732</v>
      </c>
      <c r="B371" s="891"/>
      <c r="C371" s="891"/>
      <c r="D371" s="892"/>
      <c r="E371" s="361">
        <v>20</v>
      </c>
      <c r="F371" s="616"/>
    </row>
    <row r="372" spans="1:6" ht="24" thickBot="1" x14ac:dyDescent="0.55000000000000004">
      <c r="A372" s="359" t="s">
        <v>733</v>
      </c>
      <c r="B372" s="324"/>
      <c r="C372" s="371"/>
      <c r="D372" s="355"/>
      <c r="E372" s="362">
        <f>+E350-E367-E371-E369</f>
        <v>4225444.96</v>
      </c>
      <c r="F372" s="363"/>
    </row>
    <row r="373" spans="1:6" ht="16.5" customHeight="1" thickTop="1" x14ac:dyDescent="0.5">
      <c r="A373" s="364"/>
      <c r="B373" s="365"/>
      <c r="C373" s="365"/>
      <c r="D373" s="366"/>
      <c r="E373" s="365"/>
      <c r="F373" s="366"/>
    </row>
    <row r="374" spans="1:6" ht="23.25" x14ac:dyDescent="0.5">
      <c r="A374" s="367" t="s">
        <v>409</v>
      </c>
      <c r="B374" s="368"/>
      <c r="C374" s="319"/>
      <c r="D374" s="369" t="s">
        <v>410</v>
      </c>
      <c r="E374" s="336"/>
      <c r="F374" s="337"/>
    </row>
    <row r="375" spans="1:6" ht="23.25" x14ac:dyDescent="0.5">
      <c r="A375" s="335" t="s">
        <v>500</v>
      </c>
      <c r="B375" s="336"/>
      <c r="C375" s="336"/>
      <c r="D375" s="335" t="s">
        <v>501</v>
      </c>
      <c r="E375" s="336"/>
      <c r="F375" s="337"/>
    </row>
    <row r="376" spans="1:6" ht="23.25" x14ac:dyDescent="0.5">
      <c r="A376" s="335" t="s">
        <v>502</v>
      </c>
      <c r="B376" s="336"/>
      <c r="C376" s="337"/>
      <c r="D376" s="335" t="s">
        <v>502</v>
      </c>
      <c r="E376" s="336"/>
      <c r="F376" s="337"/>
    </row>
    <row r="377" spans="1:6" ht="23.25" x14ac:dyDescent="0.5">
      <c r="A377" s="335" t="s">
        <v>411</v>
      </c>
      <c r="B377" s="336"/>
      <c r="C377" s="337"/>
      <c r="D377" s="335" t="s">
        <v>411</v>
      </c>
      <c r="E377" s="336"/>
      <c r="F377" s="337"/>
    </row>
    <row r="378" spans="1:6" ht="23.25" x14ac:dyDescent="0.5">
      <c r="A378" s="335" t="s">
        <v>734</v>
      </c>
      <c r="B378" s="323"/>
      <c r="C378" s="323"/>
      <c r="D378" s="335" t="s">
        <v>735</v>
      </c>
      <c r="E378" s="323"/>
      <c r="F378" s="623"/>
    </row>
    <row r="379" spans="1:6" ht="3.75" customHeight="1" x14ac:dyDescent="0.45">
      <c r="A379" s="625"/>
      <c r="B379" s="329"/>
      <c r="C379" s="626"/>
      <c r="D379" s="329"/>
      <c r="E379" s="329"/>
      <c r="F379" s="627"/>
    </row>
    <row r="380" spans="1:6" ht="29.25" x14ac:dyDescent="0.6">
      <c r="A380" s="314" t="s">
        <v>398</v>
      </c>
      <c r="B380" s="315"/>
      <c r="C380" s="316"/>
      <c r="D380" s="317"/>
      <c r="E380" s="318" t="s">
        <v>399</v>
      </c>
      <c r="F380" s="319"/>
    </row>
    <row r="381" spans="1:6" ht="29.25" x14ac:dyDescent="0.6">
      <c r="A381" s="320" t="s">
        <v>400</v>
      </c>
      <c r="B381" s="321"/>
      <c r="C381" s="322"/>
      <c r="D381" s="323"/>
      <c r="E381" s="324" t="s">
        <v>401</v>
      </c>
      <c r="F381" s="325"/>
    </row>
    <row r="382" spans="1:6" ht="17.25" customHeight="1" x14ac:dyDescent="0.6">
      <c r="A382" s="326"/>
      <c r="B382" s="327"/>
      <c r="C382" s="328"/>
      <c r="D382" s="329"/>
      <c r="E382" s="330" t="s">
        <v>13</v>
      </c>
      <c r="F382" s="331"/>
    </row>
    <row r="383" spans="1:6" ht="18.95" customHeight="1" x14ac:dyDescent="0.5">
      <c r="A383" s="614"/>
      <c r="B383" s="368"/>
      <c r="C383" s="368"/>
      <c r="D383" s="319"/>
      <c r="E383" s="417" t="s">
        <v>402</v>
      </c>
      <c r="F383" s="319" t="s">
        <v>9</v>
      </c>
    </row>
    <row r="384" spans="1:6" ht="18.95" customHeight="1" x14ac:dyDescent="0.5">
      <c r="A384" s="335" t="s">
        <v>736</v>
      </c>
      <c r="B384" s="615"/>
      <c r="C384" s="336"/>
      <c r="D384" s="337"/>
      <c r="E384" s="338">
        <v>4224797.88</v>
      </c>
      <c r="F384" s="337"/>
    </row>
    <row r="385" spans="1:8" ht="18.95" customHeight="1" x14ac:dyDescent="0.5">
      <c r="A385" s="339" t="s">
        <v>403</v>
      </c>
      <c r="B385" s="615"/>
      <c r="C385" s="336"/>
      <c r="D385" s="337"/>
      <c r="E385" s="338"/>
      <c r="F385" s="337"/>
    </row>
    <row r="386" spans="1:8" ht="18.95" customHeight="1" x14ac:dyDescent="0.5">
      <c r="A386" s="339" t="s">
        <v>737</v>
      </c>
      <c r="B386" s="615"/>
      <c r="C386" s="336"/>
      <c r="D386" s="337"/>
      <c r="E386" s="338">
        <v>118625.12</v>
      </c>
      <c r="F386" s="337"/>
    </row>
    <row r="387" spans="1:8" ht="18.95" customHeight="1" x14ac:dyDescent="0.5">
      <c r="A387" s="340" t="s">
        <v>404</v>
      </c>
      <c r="B387" s="336"/>
      <c r="C387" s="336"/>
      <c r="D387" s="616"/>
      <c r="E387" s="336"/>
      <c r="F387" s="337"/>
    </row>
    <row r="388" spans="1:8" ht="18.95" customHeight="1" x14ac:dyDescent="0.5">
      <c r="A388" s="610"/>
      <c r="B388" s="342"/>
      <c r="C388" s="342"/>
      <c r="D388" s="343"/>
      <c r="E388" s="336"/>
      <c r="F388" s="337"/>
    </row>
    <row r="389" spans="1:8" ht="18.95" customHeight="1" x14ac:dyDescent="0.5">
      <c r="A389" s="344" t="s">
        <v>405</v>
      </c>
      <c r="B389" s="342" t="s">
        <v>406</v>
      </c>
      <c r="C389" s="342"/>
      <c r="D389" s="343" t="s">
        <v>402</v>
      </c>
      <c r="E389" s="335"/>
      <c r="F389" s="337"/>
    </row>
    <row r="390" spans="1:8" ht="18.95" customHeight="1" x14ac:dyDescent="0.5">
      <c r="A390" s="345" t="s">
        <v>738</v>
      </c>
      <c r="B390" s="346">
        <v>168258245</v>
      </c>
      <c r="C390" s="347"/>
      <c r="D390" s="348">
        <v>7500</v>
      </c>
      <c r="E390" s="335"/>
      <c r="F390" s="337"/>
    </row>
    <row r="391" spans="1:8" ht="18.95" customHeight="1" x14ac:dyDescent="0.5">
      <c r="A391" s="345" t="s">
        <v>739</v>
      </c>
      <c r="B391" s="346">
        <v>16258248</v>
      </c>
      <c r="C391" s="347"/>
      <c r="D391" s="348">
        <v>24096.6</v>
      </c>
      <c r="E391" s="336"/>
      <c r="F391" s="337"/>
    </row>
    <row r="392" spans="1:8" ht="18.95" customHeight="1" x14ac:dyDescent="0.5">
      <c r="A392" s="349"/>
      <c r="B392" s="346">
        <v>16258249</v>
      </c>
      <c r="C392" s="347"/>
      <c r="D392" s="348">
        <v>5320</v>
      </c>
      <c r="E392" s="353"/>
      <c r="F392" s="337"/>
      <c r="G392">
        <v>12</v>
      </c>
    </row>
    <row r="393" spans="1:8" ht="18.95" customHeight="1" x14ac:dyDescent="0.5">
      <c r="A393" s="349"/>
      <c r="B393" s="346">
        <v>16258251</v>
      </c>
      <c r="C393" s="618"/>
      <c r="D393" s="619">
        <v>8915.89</v>
      </c>
      <c r="E393" s="353"/>
      <c r="F393" s="337"/>
    </row>
    <row r="394" spans="1:8" ht="18.95" customHeight="1" x14ac:dyDescent="0.5">
      <c r="A394" s="349"/>
      <c r="B394" s="346">
        <v>16258252</v>
      </c>
      <c r="C394" s="618"/>
      <c r="D394" s="619">
        <v>11900</v>
      </c>
      <c r="E394" s="353"/>
      <c r="F394" s="337"/>
    </row>
    <row r="395" spans="1:8" ht="18.95" customHeight="1" x14ac:dyDescent="0.5">
      <c r="A395" s="349" t="s">
        <v>740</v>
      </c>
      <c r="B395" s="346">
        <v>16258261</v>
      </c>
      <c r="C395" s="618"/>
      <c r="D395" s="619">
        <v>12196.8</v>
      </c>
      <c r="E395" s="353"/>
      <c r="F395" s="337"/>
    </row>
    <row r="396" spans="1:8" ht="18.95" customHeight="1" x14ac:dyDescent="0.5">
      <c r="A396" s="349"/>
      <c r="B396" s="346">
        <v>16258262</v>
      </c>
      <c r="C396" s="618"/>
      <c r="D396" s="619">
        <v>12632.4</v>
      </c>
      <c r="E396" s="353"/>
      <c r="F396" s="337"/>
    </row>
    <row r="397" spans="1:8" ht="18.95" customHeight="1" x14ac:dyDescent="0.5">
      <c r="A397" s="349"/>
      <c r="B397" s="346">
        <v>16258263</v>
      </c>
      <c r="C397" s="618"/>
      <c r="D397" s="619">
        <v>1500</v>
      </c>
      <c r="E397" s="353"/>
      <c r="F397" s="337"/>
      <c r="H397" s="628">
        <f>+E384-E413</f>
        <v>214009.26000000024</v>
      </c>
    </row>
    <row r="398" spans="1:8" ht="18.95" customHeight="1" x14ac:dyDescent="0.5">
      <c r="A398" s="349"/>
      <c r="B398" s="346">
        <v>16258264</v>
      </c>
      <c r="C398" s="618"/>
      <c r="D398" s="619">
        <v>8910</v>
      </c>
      <c r="E398" s="353"/>
      <c r="F398" s="337"/>
    </row>
    <row r="399" spans="1:8" ht="18.95" customHeight="1" x14ac:dyDescent="0.5">
      <c r="A399" s="349"/>
      <c r="B399" s="346">
        <v>16258265</v>
      </c>
      <c r="C399" s="618"/>
      <c r="D399" s="619">
        <v>1590</v>
      </c>
      <c r="E399" s="353"/>
      <c r="F399" s="337"/>
    </row>
    <row r="400" spans="1:8" ht="18.95" customHeight="1" x14ac:dyDescent="0.5">
      <c r="A400" s="349"/>
      <c r="B400" s="346">
        <v>16258266</v>
      </c>
      <c r="C400" s="618"/>
      <c r="D400" s="619">
        <v>1278</v>
      </c>
      <c r="E400" s="353"/>
      <c r="F400" s="337"/>
    </row>
    <row r="401" spans="1:8" ht="18.95" customHeight="1" x14ac:dyDescent="0.5">
      <c r="A401" s="349"/>
      <c r="B401" s="346">
        <v>16258267</v>
      </c>
      <c r="C401" s="618"/>
      <c r="D401" s="619">
        <v>123328.36</v>
      </c>
      <c r="E401" s="353"/>
      <c r="F401" s="337"/>
    </row>
    <row r="402" spans="1:8" ht="18.95" customHeight="1" x14ac:dyDescent="0.5">
      <c r="A402" s="349"/>
      <c r="B402" s="346">
        <v>16258268</v>
      </c>
      <c r="C402" s="618"/>
      <c r="D402" s="619">
        <v>38567.4</v>
      </c>
      <c r="E402" s="353"/>
      <c r="F402" s="337"/>
    </row>
    <row r="403" spans="1:8" ht="18.95" customHeight="1" x14ac:dyDescent="0.5">
      <c r="A403" s="349"/>
      <c r="B403" s="346">
        <v>16258269</v>
      </c>
      <c r="C403" s="618"/>
      <c r="D403" s="619">
        <v>49825</v>
      </c>
      <c r="E403" s="353"/>
      <c r="F403" s="337"/>
    </row>
    <row r="404" spans="1:8" ht="18.95" customHeight="1" x14ac:dyDescent="0.5">
      <c r="A404" s="349"/>
      <c r="B404" s="346">
        <v>16258270</v>
      </c>
      <c r="C404" s="618"/>
      <c r="D404" s="619">
        <v>3750</v>
      </c>
      <c r="E404" s="353"/>
      <c r="F404" s="337"/>
    </row>
    <row r="405" spans="1:8" ht="18.95" customHeight="1" x14ac:dyDescent="0.5">
      <c r="A405" s="349"/>
      <c r="B405" s="346">
        <v>16258271</v>
      </c>
      <c r="C405" s="618"/>
      <c r="D405" s="619">
        <v>2235</v>
      </c>
      <c r="E405" s="353"/>
      <c r="F405" s="337"/>
    </row>
    <row r="406" spans="1:8" ht="18.95" customHeight="1" x14ac:dyDescent="0.5">
      <c r="A406" s="349"/>
      <c r="B406" s="346">
        <v>16258272</v>
      </c>
      <c r="C406" s="618"/>
      <c r="D406" s="619">
        <v>24750</v>
      </c>
      <c r="E406" s="353"/>
      <c r="F406" s="337"/>
    </row>
    <row r="407" spans="1:8" ht="18.95" customHeight="1" x14ac:dyDescent="0.5">
      <c r="A407" s="349"/>
      <c r="B407" s="346">
        <v>16258273</v>
      </c>
      <c r="C407" s="347"/>
      <c r="D407" s="348">
        <v>4953.2700000000004</v>
      </c>
      <c r="E407" s="353"/>
      <c r="F407" s="337"/>
    </row>
    <row r="408" spans="1:8" ht="18.95" customHeight="1" x14ac:dyDescent="0.5">
      <c r="A408" s="349"/>
      <c r="B408" s="346">
        <v>16258274</v>
      </c>
      <c r="C408" s="347"/>
      <c r="D408" s="348">
        <v>2971.96</v>
      </c>
      <c r="E408" s="353"/>
      <c r="F408" s="337"/>
    </row>
    <row r="409" spans="1:8" ht="18.95" customHeight="1" thickBot="1" x14ac:dyDescent="0.55000000000000004">
      <c r="A409" s="345"/>
      <c r="B409" s="346"/>
      <c r="C409" s="356" t="s">
        <v>151</v>
      </c>
      <c r="D409" s="620">
        <f>SUM(D390:D408)</f>
        <v>346220.68</v>
      </c>
      <c r="E409" s="353">
        <f>+D409</f>
        <v>346220.68</v>
      </c>
      <c r="F409" s="337"/>
      <c r="H409" s="453">
        <v>119095.43</v>
      </c>
    </row>
    <row r="410" spans="1:8" ht="18.95" customHeight="1" thickTop="1" x14ac:dyDescent="0.5">
      <c r="A410" s="357" t="s">
        <v>407</v>
      </c>
      <c r="B410" s="336"/>
      <c r="C410" s="342"/>
      <c r="D410" s="348"/>
      <c r="E410" s="353"/>
      <c r="F410" s="337"/>
    </row>
    <row r="411" spans="1:8" ht="18.95" customHeight="1" x14ac:dyDescent="0.5">
      <c r="A411" s="340" t="s">
        <v>408</v>
      </c>
      <c r="B411" s="336"/>
      <c r="C411" s="336"/>
      <c r="D411" s="337"/>
      <c r="E411" s="419"/>
      <c r="F411" s="337"/>
    </row>
    <row r="412" spans="1:8" ht="18.95" customHeight="1" x14ac:dyDescent="0.5">
      <c r="A412" s="340" t="s">
        <v>741</v>
      </c>
      <c r="B412" s="336"/>
      <c r="C412" s="336"/>
      <c r="D412" s="336"/>
      <c r="E412" s="629">
        <v>13586.3</v>
      </c>
      <c r="F412" s="337"/>
    </row>
    <row r="413" spans="1:8" ht="18.95" customHeight="1" thickBot="1" x14ac:dyDescent="0.55000000000000004">
      <c r="A413" s="359" t="s">
        <v>742</v>
      </c>
      <c r="B413" s="324"/>
      <c r="C413" s="371"/>
      <c r="D413" s="355"/>
      <c r="E413" s="362">
        <f>+E384+E386-E409+E412</f>
        <v>4010788.6199999996</v>
      </c>
      <c r="F413" s="363"/>
    </row>
    <row r="414" spans="1:8" ht="16.5" customHeight="1" thickTop="1" x14ac:dyDescent="0.5">
      <c r="A414" s="364"/>
      <c r="B414" s="365"/>
      <c r="C414" s="365"/>
      <c r="D414" s="366"/>
      <c r="E414" s="365"/>
      <c r="F414" s="366"/>
    </row>
    <row r="415" spans="1:8" ht="18.95" customHeight="1" x14ac:dyDescent="0.5">
      <c r="A415" s="367" t="s">
        <v>409</v>
      </c>
      <c r="B415" s="368"/>
      <c r="C415" s="319"/>
      <c r="D415" s="369" t="s">
        <v>410</v>
      </c>
      <c r="E415" s="336"/>
      <c r="F415" s="337"/>
    </row>
    <row r="416" spans="1:8" ht="18.95" customHeight="1" x14ac:dyDescent="0.5">
      <c r="A416" s="335" t="s">
        <v>500</v>
      </c>
      <c r="B416" s="336"/>
      <c r="C416" s="336"/>
      <c r="D416" s="335" t="s">
        <v>501</v>
      </c>
      <c r="E416" s="336"/>
      <c r="F416" s="337"/>
    </row>
    <row r="417" spans="1:6" ht="18.95" customHeight="1" x14ac:dyDescent="0.5">
      <c r="A417" s="335" t="s">
        <v>502</v>
      </c>
      <c r="B417" s="336"/>
      <c r="C417" s="337"/>
      <c r="D417" s="335" t="s">
        <v>502</v>
      </c>
      <c r="E417" s="336"/>
      <c r="F417" s="337"/>
    </row>
    <row r="418" spans="1:6" ht="18.95" customHeight="1" x14ac:dyDescent="0.5">
      <c r="A418" s="335" t="s">
        <v>411</v>
      </c>
      <c r="B418" s="336"/>
      <c r="C418" s="337"/>
      <c r="D418" s="335" t="s">
        <v>411</v>
      </c>
      <c r="E418" s="336"/>
      <c r="F418" s="337"/>
    </row>
    <row r="419" spans="1:6" ht="18.95" customHeight="1" x14ac:dyDescent="0.5">
      <c r="A419" s="335" t="s">
        <v>743</v>
      </c>
      <c r="B419" s="323"/>
      <c r="C419" s="323"/>
      <c r="D419" s="335" t="s">
        <v>744</v>
      </c>
      <c r="E419" s="323"/>
      <c r="F419" s="623"/>
    </row>
    <row r="420" spans="1:6" ht="0.75" customHeight="1" x14ac:dyDescent="0.45">
      <c r="A420" s="625"/>
      <c r="B420" s="329"/>
      <c r="C420" s="626"/>
      <c r="D420" s="329"/>
      <c r="E420" s="329"/>
      <c r="F420" s="627"/>
    </row>
  </sheetData>
  <mergeCells count="11">
    <mergeCell ref="A23:D23"/>
    <mergeCell ref="A52:D52"/>
    <mergeCell ref="A262:D262"/>
    <mergeCell ref="A299:D299"/>
    <mergeCell ref="A336:D336"/>
    <mergeCell ref="A371:D371"/>
    <mergeCell ref="A87:D87"/>
    <mergeCell ref="A124:D124"/>
    <mergeCell ref="A159:D159"/>
    <mergeCell ref="A194:D194"/>
    <mergeCell ref="A227:D227"/>
  </mergeCells>
  <pageMargins left="0.7" right="0.7" top="0.31" bottom="0.48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95"/>
  <sheetViews>
    <sheetView topLeftCell="A381" workbookViewId="0">
      <selection activeCell="I388" sqref="I388"/>
    </sheetView>
  </sheetViews>
  <sheetFormatPr defaultRowHeight="14.25" x14ac:dyDescent="0.2"/>
  <cols>
    <col min="3" max="3" width="23.125" customWidth="1"/>
    <col min="4" max="4" width="22.5" customWidth="1"/>
    <col min="5" max="5" width="17" customWidth="1"/>
    <col min="6" max="6" width="5.25" customWidth="1"/>
  </cols>
  <sheetData>
    <row r="1" spans="1:6" ht="29.25" x14ac:dyDescent="0.6">
      <c r="A1" s="314" t="s">
        <v>398</v>
      </c>
      <c r="B1" s="315"/>
      <c r="C1" s="316"/>
      <c r="D1" s="317"/>
      <c r="E1" s="318" t="s">
        <v>745</v>
      </c>
      <c r="F1" s="319"/>
    </row>
    <row r="2" spans="1:6" ht="29.25" x14ac:dyDescent="0.6">
      <c r="A2" s="320" t="s">
        <v>400</v>
      </c>
      <c r="B2" s="321"/>
      <c r="C2" s="322"/>
      <c r="D2" s="323"/>
      <c r="E2" s="324" t="s">
        <v>746</v>
      </c>
      <c r="F2" s="325"/>
    </row>
    <row r="3" spans="1:6" ht="29.25" x14ac:dyDescent="0.6">
      <c r="A3" s="326"/>
      <c r="B3" s="327"/>
      <c r="C3" s="328"/>
      <c r="D3" s="329"/>
      <c r="E3" s="330" t="s">
        <v>13</v>
      </c>
      <c r="F3" s="331"/>
    </row>
    <row r="4" spans="1:6" ht="21" x14ac:dyDescent="0.45">
      <c r="A4" s="332"/>
      <c r="B4" s="317"/>
      <c r="C4" s="317"/>
      <c r="D4" s="333"/>
      <c r="E4" s="334" t="s">
        <v>402</v>
      </c>
      <c r="F4" s="333" t="s">
        <v>9</v>
      </c>
    </row>
    <row r="5" spans="1:6" ht="23.25" x14ac:dyDescent="0.5">
      <c r="A5" s="335" t="s">
        <v>747</v>
      </c>
      <c r="B5" s="171"/>
      <c r="C5" s="336"/>
      <c r="D5" s="337"/>
      <c r="E5" s="338">
        <v>13172285.18</v>
      </c>
      <c r="F5" s="337"/>
    </row>
    <row r="6" spans="1:6" ht="23.25" x14ac:dyDescent="0.5">
      <c r="A6" s="339" t="s">
        <v>403</v>
      </c>
      <c r="B6" s="171"/>
      <c r="C6" s="336"/>
      <c r="D6" s="337"/>
      <c r="E6" s="338">
        <v>0</v>
      </c>
      <c r="F6" s="337"/>
    </row>
    <row r="7" spans="1:6" ht="23.25" x14ac:dyDescent="0.5">
      <c r="A7" s="340" t="s">
        <v>404</v>
      </c>
      <c r="B7" s="336"/>
      <c r="C7" s="336"/>
      <c r="D7" s="341"/>
      <c r="E7" s="336"/>
      <c r="F7" s="337"/>
    </row>
    <row r="8" spans="1:6" ht="23.25" x14ac:dyDescent="0.5">
      <c r="A8" s="610"/>
      <c r="B8" s="342"/>
      <c r="C8" s="342"/>
      <c r="D8" s="343"/>
      <c r="E8" s="336"/>
      <c r="F8" s="337"/>
    </row>
    <row r="9" spans="1:6" ht="23.25" x14ac:dyDescent="0.5">
      <c r="A9" s="344" t="s">
        <v>405</v>
      </c>
      <c r="B9" s="342" t="s">
        <v>406</v>
      </c>
      <c r="C9" s="342"/>
      <c r="D9" s="343" t="s">
        <v>402</v>
      </c>
      <c r="E9" s="336"/>
      <c r="F9" s="337"/>
    </row>
    <row r="10" spans="1:6" ht="23.25" x14ac:dyDescent="0.5">
      <c r="A10" s="345" t="s">
        <v>748</v>
      </c>
      <c r="B10" s="346">
        <v>534657</v>
      </c>
      <c r="C10" s="347"/>
      <c r="D10" s="348">
        <v>9292.34</v>
      </c>
      <c r="E10" s="630"/>
      <c r="F10" s="337"/>
    </row>
    <row r="11" spans="1:6" ht="23.25" x14ac:dyDescent="0.5">
      <c r="A11" s="349"/>
      <c r="B11" s="350"/>
      <c r="C11" s="351"/>
      <c r="D11" s="352"/>
      <c r="E11" s="336"/>
      <c r="F11" s="337"/>
    </row>
    <row r="12" spans="1:6" ht="23.25" x14ac:dyDescent="0.5">
      <c r="A12" s="345"/>
      <c r="B12" s="346"/>
      <c r="C12" s="342"/>
      <c r="D12" s="348"/>
      <c r="E12" s="353">
        <v>0</v>
      </c>
      <c r="F12" s="337"/>
    </row>
    <row r="13" spans="1:6" ht="23.25" x14ac:dyDescent="0.5">
      <c r="A13" s="345"/>
      <c r="B13" s="346"/>
      <c r="C13" s="342"/>
      <c r="D13" s="348"/>
      <c r="E13" s="353"/>
      <c r="F13" s="337"/>
    </row>
    <row r="14" spans="1:6" ht="24" thickBot="1" x14ac:dyDescent="0.55000000000000004">
      <c r="A14" s="345"/>
      <c r="B14" s="346"/>
      <c r="C14" s="356" t="s">
        <v>151</v>
      </c>
      <c r="D14" s="620">
        <f>D10+D13</f>
        <v>9292.34</v>
      </c>
      <c r="E14" s="631">
        <f>+D14</f>
        <v>9292.34</v>
      </c>
      <c r="F14" s="337"/>
    </row>
    <row r="15" spans="1:6" ht="24" thickTop="1" x14ac:dyDescent="0.5">
      <c r="A15" s="357" t="s">
        <v>407</v>
      </c>
      <c r="B15" s="336"/>
      <c r="C15" s="336"/>
      <c r="D15" s="358"/>
      <c r="E15" s="354"/>
      <c r="F15" s="337"/>
    </row>
    <row r="16" spans="1:6" ht="23.25" x14ac:dyDescent="0.5">
      <c r="A16" s="357" t="s">
        <v>749</v>
      </c>
      <c r="B16" s="336"/>
      <c r="C16" s="336"/>
      <c r="D16" s="358"/>
      <c r="E16" s="632">
        <v>14375.57</v>
      </c>
      <c r="F16" s="337"/>
    </row>
    <row r="17" spans="1:206" ht="23.25" x14ac:dyDescent="0.5">
      <c r="A17" s="357" t="s">
        <v>750</v>
      </c>
      <c r="B17" s="336"/>
      <c r="C17" s="336"/>
      <c r="D17" s="358"/>
      <c r="E17" s="632">
        <v>5489.74</v>
      </c>
      <c r="F17" s="337"/>
    </row>
    <row r="18" spans="1:206" ht="23.25" x14ac:dyDescent="0.5">
      <c r="A18" s="357" t="s">
        <v>751</v>
      </c>
      <c r="B18" s="336"/>
      <c r="C18" s="336"/>
      <c r="D18" s="358"/>
      <c r="E18" s="633">
        <v>7000000</v>
      </c>
      <c r="F18" s="337"/>
    </row>
    <row r="19" spans="1:206" ht="23.25" x14ac:dyDescent="0.5">
      <c r="A19" s="357" t="s">
        <v>752</v>
      </c>
      <c r="B19" s="336"/>
      <c r="C19" s="336"/>
      <c r="D19" s="358"/>
      <c r="E19" s="633">
        <v>0.01</v>
      </c>
      <c r="F19" s="337"/>
    </row>
    <row r="20" spans="1:206" ht="23.25" x14ac:dyDescent="0.5">
      <c r="A20" s="359"/>
      <c r="B20" s="336"/>
      <c r="C20" s="336"/>
      <c r="D20" s="360"/>
      <c r="E20" s="335"/>
      <c r="F20" s="337"/>
    </row>
    <row r="21" spans="1:206" ht="23.25" x14ac:dyDescent="0.5">
      <c r="A21" s="340" t="s">
        <v>408</v>
      </c>
      <c r="B21" s="336"/>
      <c r="C21" s="336"/>
      <c r="D21" s="337"/>
      <c r="E21" s="633"/>
      <c r="F21" s="337"/>
      <c r="H21">
        <v>1</v>
      </c>
    </row>
    <row r="22" spans="1:206" ht="23.25" x14ac:dyDescent="0.5">
      <c r="A22" s="893"/>
      <c r="B22" s="894"/>
      <c r="C22" s="894"/>
      <c r="D22" s="895"/>
      <c r="E22" s="361"/>
      <c r="F22" s="634"/>
    </row>
    <row r="23" spans="1:206" ht="24" thickBot="1" x14ac:dyDescent="0.55000000000000004">
      <c r="A23" s="359" t="s">
        <v>753</v>
      </c>
      <c r="B23" s="324"/>
      <c r="C23" s="371"/>
      <c r="D23" s="355"/>
      <c r="E23" s="362">
        <f>+E5-E14-E16-E17-E18+E19</f>
        <v>6143127.5399999991</v>
      </c>
      <c r="F23" s="363"/>
      <c r="G23" s="324"/>
      <c r="H23" s="324"/>
      <c r="I23" s="371"/>
      <c r="J23" s="355"/>
      <c r="K23" s="372"/>
      <c r="L23" s="355"/>
      <c r="AF23" s="355"/>
      <c r="AG23" s="354"/>
      <c r="AH23" s="355"/>
      <c r="AI23" s="354"/>
      <c r="AJ23" s="355"/>
      <c r="AK23" s="354"/>
      <c r="AL23" s="355"/>
      <c r="AM23" s="354"/>
      <c r="AN23" s="355"/>
      <c r="AO23" s="354"/>
      <c r="AP23" s="355"/>
      <c r="AQ23" s="354"/>
      <c r="AR23" s="355"/>
      <c r="AS23" s="354"/>
      <c r="AT23" s="355"/>
      <c r="AU23" s="354"/>
      <c r="AV23" s="355"/>
      <c r="AW23" s="354"/>
      <c r="AX23" s="355"/>
      <c r="AY23" s="354"/>
      <c r="AZ23" s="355"/>
      <c r="BA23" s="354"/>
      <c r="BB23" s="355"/>
      <c r="BC23" s="354"/>
      <c r="BD23" s="355"/>
      <c r="BE23" s="354"/>
      <c r="BF23" s="355"/>
      <c r="BG23" s="354"/>
      <c r="BH23" s="355"/>
      <c r="BI23" s="354"/>
      <c r="BJ23" s="355"/>
      <c r="BK23" s="354"/>
      <c r="BL23" s="355"/>
      <c r="BM23" s="354"/>
      <c r="BN23" s="355"/>
      <c r="BO23" s="354"/>
      <c r="BP23" s="355"/>
      <c r="BQ23" s="354"/>
      <c r="BR23" s="355"/>
      <c r="BS23" s="354"/>
      <c r="BT23" s="355"/>
      <c r="BU23" s="354"/>
      <c r="BV23" s="355"/>
      <c r="BW23" s="354"/>
      <c r="BX23" s="355"/>
      <c r="BY23" s="354"/>
      <c r="BZ23" s="355"/>
      <c r="CA23" s="354"/>
      <c r="CB23" s="355"/>
      <c r="CC23" s="354"/>
      <c r="CD23" s="355"/>
      <c r="CE23" s="354"/>
      <c r="CF23" s="355"/>
      <c r="CG23" s="354"/>
      <c r="CH23" s="355"/>
      <c r="CI23" s="354"/>
      <c r="CJ23" s="355"/>
      <c r="CK23" s="354"/>
      <c r="CL23" s="355"/>
      <c r="CM23" s="354"/>
      <c r="CN23" s="355"/>
      <c r="CO23" s="354"/>
      <c r="CP23" s="355"/>
      <c r="CQ23" s="354"/>
      <c r="CR23" s="355"/>
      <c r="CS23" s="354"/>
      <c r="CT23" s="355"/>
      <c r="CU23" s="354"/>
      <c r="CV23" s="355"/>
      <c r="CW23" s="354"/>
      <c r="CX23" s="355"/>
      <c r="CY23" s="354"/>
      <c r="CZ23" s="355"/>
      <c r="DA23" s="354"/>
      <c r="DB23" s="355"/>
      <c r="DC23" s="354"/>
      <c r="DD23" s="355"/>
      <c r="DE23" s="354"/>
      <c r="DF23" s="355"/>
      <c r="DG23" s="354"/>
      <c r="DH23" s="355"/>
      <c r="DI23" s="354"/>
      <c r="DJ23" s="355"/>
      <c r="DK23" s="354"/>
      <c r="DL23" s="355"/>
      <c r="DM23" s="354"/>
      <c r="DN23" s="355"/>
      <c r="DO23" s="354"/>
      <c r="DP23" s="355"/>
      <c r="DQ23" s="354"/>
      <c r="DR23" s="355"/>
      <c r="DS23" s="354"/>
      <c r="DT23" s="355"/>
      <c r="DU23" s="354"/>
      <c r="DV23" s="355"/>
      <c r="DW23" s="354"/>
      <c r="DX23" s="355"/>
      <c r="DY23" s="354"/>
      <c r="DZ23" s="355"/>
      <c r="EA23" s="354"/>
      <c r="EB23" s="355"/>
      <c r="EC23" s="354"/>
      <c r="ED23" s="355"/>
      <c r="EE23" s="354"/>
      <c r="EF23" s="355"/>
      <c r="EG23" s="354"/>
      <c r="EH23" s="355"/>
      <c r="EI23" s="354"/>
      <c r="EJ23" s="355"/>
      <c r="EK23" s="354"/>
      <c r="EL23" s="355"/>
      <c r="EM23" s="354"/>
      <c r="EN23" s="355"/>
      <c r="EO23" s="354"/>
      <c r="EP23" s="355"/>
      <c r="EQ23" s="354"/>
      <c r="ER23" s="355"/>
      <c r="ES23" s="354"/>
      <c r="ET23" s="355"/>
      <c r="EU23" s="354"/>
      <c r="EV23" s="355"/>
      <c r="EW23" s="354"/>
      <c r="EX23" s="355"/>
      <c r="EY23" s="354"/>
      <c r="EZ23" s="355"/>
      <c r="FA23" s="354"/>
      <c r="FB23" s="355"/>
      <c r="FC23" s="354"/>
      <c r="FD23" s="355"/>
      <c r="FE23" s="354"/>
      <c r="FF23" s="355"/>
      <c r="FG23" s="354"/>
      <c r="FH23" s="355"/>
      <c r="FI23" s="354"/>
      <c r="FJ23" s="355"/>
      <c r="FK23" s="354"/>
      <c r="FL23" s="355"/>
      <c r="FM23" s="354"/>
      <c r="FN23" s="355"/>
      <c r="FO23" s="354"/>
      <c r="FP23" s="355"/>
      <c r="FQ23" s="354"/>
      <c r="FR23" s="355"/>
      <c r="FS23" s="354"/>
      <c r="FT23" s="355"/>
      <c r="FU23" s="354"/>
      <c r="FV23" s="355"/>
      <c r="FW23" s="354"/>
      <c r="FX23" s="355"/>
      <c r="FY23" s="354"/>
      <c r="FZ23" s="355"/>
      <c r="GA23" s="354"/>
      <c r="GB23" s="355"/>
      <c r="GC23" s="354"/>
      <c r="GD23" s="355"/>
      <c r="GE23" s="354"/>
      <c r="GF23" s="355"/>
      <c r="GG23" s="354"/>
      <c r="GH23" s="355"/>
      <c r="GI23" s="354"/>
      <c r="GJ23" s="355"/>
      <c r="GK23" s="354"/>
      <c r="GL23" s="355"/>
      <c r="GM23" s="354"/>
      <c r="GN23" s="355"/>
      <c r="GO23" s="354"/>
      <c r="GP23" s="355"/>
      <c r="GQ23" s="354"/>
      <c r="GR23" s="355"/>
      <c r="GS23" s="354"/>
      <c r="GT23" s="355"/>
      <c r="GU23" s="354"/>
      <c r="GV23" s="355"/>
      <c r="GW23" s="354"/>
      <c r="GX23" s="355"/>
    </row>
    <row r="24" spans="1:206" ht="24" thickTop="1" x14ac:dyDescent="0.5">
      <c r="A24" s="364"/>
      <c r="B24" s="365"/>
      <c r="C24" s="365"/>
      <c r="D24" s="366"/>
      <c r="E24" s="365"/>
      <c r="F24" s="366"/>
      <c r="G24" s="336"/>
      <c r="H24" s="336"/>
      <c r="I24" s="336"/>
      <c r="J24" s="336"/>
      <c r="K24" s="336"/>
      <c r="L24" s="336"/>
    </row>
    <row r="25" spans="1:206" ht="23.25" x14ac:dyDescent="0.5">
      <c r="A25" s="367" t="s">
        <v>409</v>
      </c>
      <c r="B25" s="368"/>
      <c r="C25" s="319"/>
      <c r="D25" s="369" t="s">
        <v>410</v>
      </c>
      <c r="E25" s="336"/>
      <c r="F25" s="337"/>
      <c r="G25" s="324"/>
      <c r="H25" s="336"/>
      <c r="I25" s="336"/>
      <c r="J25" s="369"/>
      <c r="K25" s="336"/>
      <c r="L25" s="336"/>
    </row>
    <row r="26" spans="1:206" ht="23.25" x14ac:dyDescent="0.5">
      <c r="A26" s="335" t="s">
        <v>500</v>
      </c>
      <c r="B26" s="336"/>
      <c r="C26" s="336"/>
      <c r="D26" s="335" t="s">
        <v>501</v>
      </c>
      <c r="E26" s="336"/>
      <c r="F26" s="337"/>
      <c r="G26" s="336"/>
      <c r="H26" s="336"/>
      <c r="I26" s="336"/>
      <c r="J26" s="336"/>
      <c r="K26" s="336"/>
      <c r="L26" s="336"/>
    </row>
    <row r="27" spans="1:206" ht="23.25" x14ac:dyDescent="0.5">
      <c r="A27" s="335" t="s">
        <v>502</v>
      </c>
      <c r="B27" s="336"/>
      <c r="C27" s="337"/>
      <c r="D27" s="335" t="s">
        <v>502</v>
      </c>
      <c r="E27" s="336"/>
      <c r="F27" s="337"/>
      <c r="G27" s="336"/>
      <c r="H27" s="336"/>
      <c r="I27" s="336"/>
      <c r="J27" s="336"/>
      <c r="K27" s="336"/>
      <c r="L27" s="336"/>
    </row>
    <row r="28" spans="1:206" ht="23.25" x14ac:dyDescent="0.5">
      <c r="A28" s="335" t="s">
        <v>411</v>
      </c>
      <c r="B28" s="336"/>
      <c r="C28" s="337"/>
      <c r="D28" s="335" t="s">
        <v>411</v>
      </c>
      <c r="E28" s="336"/>
      <c r="F28" s="337"/>
      <c r="G28" s="336"/>
      <c r="H28" s="336"/>
      <c r="I28" s="336"/>
      <c r="J28" s="336"/>
      <c r="K28" s="336"/>
      <c r="L28" s="336"/>
    </row>
    <row r="29" spans="1:206" ht="23.25" x14ac:dyDescent="0.5">
      <c r="A29" s="335" t="s">
        <v>754</v>
      </c>
      <c r="B29" s="336"/>
      <c r="C29" s="336"/>
      <c r="D29" s="335" t="s">
        <v>754</v>
      </c>
      <c r="E29" s="336"/>
      <c r="F29" s="337"/>
      <c r="G29" s="336"/>
      <c r="H29" s="336"/>
      <c r="I29" s="336"/>
      <c r="J29" s="336"/>
      <c r="K29" s="336"/>
      <c r="L29" s="336"/>
    </row>
    <row r="30" spans="1:206" ht="23.25" x14ac:dyDescent="0.5">
      <c r="A30" s="364"/>
      <c r="B30" s="365"/>
      <c r="C30" s="370"/>
      <c r="D30" s="365"/>
      <c r="E30" s="365"/>
      <c r="F30" s="366"/>
      <c r="G30" s="336"/>
      <c r="H30" s="336"/>
      <c r="I30" s="373"/>
      <c r="J30" s="336"/>
      <c r="K30" s="336"/>
      <c r="L30" s="336"/>
    </row>
    <row r="34" spans="1:8" ht="29.25" x14ac:dyDescent="0.6">
      <c r="A34" s="314" t="s">
        <v>398</v>
      </c>
      <c r="B34" s="315"/>
      <c r="C34" s="316"/>
      <c r="D34" s="317"/>
      <c r="E34" s="318" t="s">
        <v>745</v>
      </c>
      <c r="F34" s="319"/>
    </row>
    <row r="35" spans="1:8" ht="29.25" x14ac:dyDescent="0.6">
      <c r="A35" s="320" t="s">
        <v>400</v>
      </c>
      <c r="B35" s="321"/>
      <c r="C35" s="322"/>
      <c r="D35" s="323"/>
      <c r="E35" s="324" t="s">
        <v>746</v>
      </c>
      <c r="F35" s="325"/>
    </row>
    <row r="36" spans="1:8" ht="29.25" x14ac:dyDescent="0.6">
      <c r="A36" s="326"/>
      <c r="B36" s="327"/>
      <c r="C36" s="328"/>
      <c r="D36" s="329"/>
      <c r="E36" s="330" t="s">
        <v>13</v>
      </c>
      <c r="F36" s="331"/>
    </row>
    <row r="37" spans="1:8" ht="21" x14ac:dyDescent="0.45">
      <c r="A37" s="332"/>
      <c r="B37" s="317"/>
      <c r="C37" s="317"/>
      <c r="D37" s="333"/>
      <c r="E37" s="334" t="s">
        <v>402</v>
      </c>
      <c r="F37" s="333" t="s">
        <v>9</v>
      </c>
    </row>
    <row r="38" spans="1:8" ht="23.25" x14ac:dyDescent="0.5">
      <c r="A38" s="335" t="s">
        <v>755</v>
      </c>
      <c r="B38" s="171"/>
      <c r="C38" s="336"/>
      <c r="D38" s="337"/>
      <c r="E38" s="338">
        <v>5998437.5099999998</v>
      </c>
      <c r="F38" s="337"/>
    </row>
    <row r="39" spans="1:8" ht="23.25" x14ac:dyDescent="0.5">
      <c r="A39" s="339" t="s">
        <v>403</v>
      </c>
      <c r="B39" s="171"/>
      <c r="C39" s="336"/>
      <c r="D39" s="337"/>
      <c r="E39" s="338">
        <v>0</v>
      </c>
      <c r="F39" s="337"/>
    </row>
    <row r="40" spans="1:8" ht="23.25" x14ac:dyDescent="0.5">
      <c r="A40" s="340" t="s">
        <v>404</v>
      </c>
      <c r="B40" s="336"/>
      <c r="C40" s="336"/>
      <c r="D40" s="341"/>
      <c r="E40" s="336"/>
      <c r="F40" s="337"/>
    </row>
    <row r="41" spans="1:8" ht="23.25" x14ac:dyDescent="0.5">
      <c r="A41" s="610"/>
      <c r="B41" s="342"/>
      <c r="C41" s="342"/>
      <c r="D41" s="343"/>
      <c r="E41" s="336"/>
      <c r="F41" s="337"/>
    </row>
    <row r="42" spans="1:8" ht="23.25" x14ac:dyDescent="0.5">
      <c r="A42" s="344" t="s">
        <v>405</v>
      </c>
      <c r="B42" s="342" t="s">
        <v>406</v>
      </c>
      <c r="C42" s="342"/>
      <c r="D42" s="343" t="s">
        <v>402</v>
      </c>
      <c r="E42" s="336"/>
      <c r="F42" s="337"/>
      <c r="H42">
        <v>2</v>
      </c>
    </row>
    <row r="43" spans="1:8" ht="23.25" x14ac:dyDescent="0.5">
      <c r="A43" s="345" t="s">
        <v>748</v>
      </c>
      <c r="B43" s="346">
        <v>534657</v>
      </c>
      <c r="C43" s="347"/>
      <c r="D43" s="348">
        <v>9292.34</v>
      </c>
      <c r="E43" s="630"/>
      <c r="F43" s="337"/>
    </row>
    <row r="44" spans="1:8" ht="23.25" x14ac:dyDescent="0.5">
      <c r="A44" s="349"/>
      <c r="B44" s="350"/>
      <c r="C44" s="351"/>
      <c r="D44" s="352"/>
      <c r="E44" s="336"/>
      <c r="F44" s="337"/>
    </row>
    <row r="45" spans="1:8" ht="23.25" x14ac:dyDescent="0.5">
      <c r="A45" s="345"/>
      <c r="B45" s="346"/>
      <c r="C45" s="342"/>
      <c r="D45" s="348"/>
      <c r="E45" s="353">
        <v>0</v>
      </c>
      <c r="F45" s="337"/>
    </row>
    <row r="46" spans="1:8" ht="23.25" x14ac:dyDescent="0.5">
      <c r="A46" s="345"/>
      <c r="B46" s="346"/>
      <c r="C46" s="342"/>
      <c r="D46" s="348"/>
      <c r="E46" s="353"/>
      <c r="F46" s="337"/>
    </row>
    <row r="47" spans="1:8" ht="24" thickBot="1" x14ac:dyDescent="0.55000000000000004">
      <c r="A47" s="345"/>
      <c r="B47" s="346"/>
      <c r="C47" s="356" t="s">
        <v>151</v>
      </c>
      <c r="D47" s="620">
        <f>D43+D46</f>
        <v>9292.34</v>
      </c>
      <c r="E47" s="631">
        <f>+D47</f>
        <v>9292.34</v>
      </c>
      <c r="F47" s="337"/>
    </row>
    <row r="48" spans="1:8" ht="24" thickTop="1" x14ac:dyDescent="0.5">
      <c r="A48" s="357" t="s">
        <v>407</v>
      </c>
      <c r="B48" s="336"/>
      <c r="C48" s="336"/>
      <c r="D48" s="358"/>
      <c r="E48" s="354"/>
      <c r="F48" s="337"/>
    </row>
    <row r="49" spans="1:206" ht="23.25" x14ac:dyDescent="0.5">
      <c r="A49" s="357" t="s">
        <v>749</v>
      </c>
      <c r="B49" s="336"/>
      <c r="C49" s="336"/>
      <c r="D49" s="358"/>
      <c r="E49" s="632">
        <v>14375.57</v>
      </c>
      <c r="F49" s="337"/>
    </row>
    <row r="50" spans="1:206" ht="23.25" x14ac:dyDescent="0.5">
      <c r="A50" s="357" t="s">
        <v>750</v>
      </c>
      <c r="B50" s="336"/>
      <c r="C50" s="336"/>
      <c r="D50" s="358"/>
      <c r="E50" s="632">
        <v>5489.74</v>
      </c>
      <c r="F50" s="337"/>
    </row>
    <row r="51" spans="1:206" ht="23.25" x14ac:dyDescent="0.5">
      <c r="A51" s="357" t="s">
        <v>751</v>
      </c>
      <c r="B51" s="336"/>
      <c r="C51" s="336"/>
      <c r="D51" s="358"/>
      <c r="E51" s="633"/>
      <c r="F51" s="337"/>
    </row>
    <row r="52" spans="1:206" ht="23.25" x14ac:dyDescent="0.5">
      <c r="A52" s="357" t="s">
        <v>752</v>
      </c>
      <c r="B52" s="336"/>
      <c r="C52" s="336"/>
      <c r="D52" s="358"/>
      <c r="E52" s="633">
        <v>0.01</v>
      </c>
      <c r="F52" s="337"/>
    </row>
    <row r="53" spans="1:206" ht="23.25" x14ac:dyDescent="0.5">
      <c r="A53" s="359"/>
      <c r="B53" s="336"/>
      <c r="C53" s="336"/>
      <c r="D53" s="360"/>
      <c r="E53" s="335"/>
      <c r="F53" s="337"/>
    </row>
    <row r="54" spans="1:206" ht="23.25" x14ac:dyDescent="0.5">
      <c r="A54" s="340" t="s">
        <v>408</v>
      </c>
      <c r="B54" s="336"/>
      <c r="C54" s="336"/>
      <c r="D54" s="337"/>
      <c r="E54" s="633"/>
      <c r="F54" s="337"/>
    </row>
    <row r="55" spans="1:206" ht="23.25" x14ac:dyDescent="0.5">
      <c r="A55" s="893"/>
      <c r="B55" s="894"/>
      <c r="C55" s="894"/>
      <c r="D55" s="895"/>
      <c r="E55" s="361"/>
      <c r="F55" s="634"/>
    </row>
    <row r="56" spans="1:206" ht="24" thickBot="1" x14ac:dyDescent="0.55000000000000004">
      <c r="A56" s="359" t="s">
        <v>756</v>
      </c>
      <c r="B56" s="324"/>
      <c r="C56" s="371"/>
      <c r="D56" s="355"/>
      <c r="E56" s="362">
        <f>+E38-E47-E49-E50-E51+E52</f>
        <v>5969279.8699999992</v>
      </c>
      <c r="F56" s="363"/>
      <c r="G56" s="324"/>
      <c r="H56" s="324"/>
      <c r="I56" s="371"/>
      <c r="J56" s="355"/>
      <c r="K56" s="372"/>
      <c r="L56" s="355"/>
      <c r="AF56" s="355"/>
      <c r="AG56" s="354"/>
      <c r="AH56" s="355"/>
      <c r="AI56" s="354"/>
      <c r="AJ56" s="355"/>
      <c r="AK56" s="354"/>
      <c r="AL56" s="355"/>
      <c r="AM56" s="354"/>
      <c r="AN56" s="355"/>
      <c r="AO56" s="354"/>
      <c r="AP56" s="355"/>
      <c r="AQ56" s="354"/>
      <c r="AR56" s="355"/>
      <c r="AS56" s="354"/>
      <c r="AT56" s="355"/>
      <c r="AU56" s="354"/>
      <c r="AV56" s="355"/>
      <c r="AW56" s="354"/>
      <c r="AX56" s="355"/>
      <c r="AY56" s="354"/>
      <c r="AZ56" s="355"/>
      <c r="BA56" s="354"/>
      <c r="BB56" s="355"/>
      <c r="BC56" s="354"/>
      <c r="BD56" s="355"/>
      <c r="BE56" s="354"/>
      <c r="BF56" s="355"/>
      <c r="BG56" s="354"/>
      <c r="BH56" s="355"/>
      <c r="BI56" s="354"/>
      <c r="BJ56" s="355"/>
      <c r="BK56" s="354"/>
      <c r="BL56" s="355"/>
      <c r="BM56" s="354"/>
      <c r="BN56" s="355"/>
      <c r="BO56" s="354"/>
      <c r="BP56" s="355"/>
      <c r="BQ56" s="354"/>
      <c r="BR56" s="355"/>
      <c r="BS56" s="354"/>
      <c r="BT56" s="355"/>
      <c r="BU56" s="354"/>
      <c r="BV56" s="355"/>
      <c r="BW56" s="354"/>
      <c r="BX56" s="355"/>
      <c r="BY56" s="354"/>
      <c r="BZ56" s="355"/>
      <c r="CA56" s="354"/>
      <c r="CB56" s="355"/>
      <c r="CC56" s="354"/>
      <c r="CD56" s="355"/>
      <c r="CE56" s="354"/>
      <c r="CF56" s="355"/>
      <c r="CG56" s="354"/>
      <c r="CH56" s="355"/>
      <c r="CI56" s="354"/>
      <c r="CJ56" s="355"/>
      <c r="CK56" s="354"/>
      <c r="CL56" s="355"/>
      <c r="CM56" s="354"/>
      <c r="CN56" s="355"/>
      <c r="CO56" s="354"/>
      <c r="CP56" s="355"/>
      <c r="CQ56" s="354"/>
      <c r="CR56" s="355"/>
      <c r="CS56" s="354"/>
      <c r="CT56" s="355"/>
      <c r="CU56" s="354"/>
      <c r="CV56" s="355"/>
      <c r="CW56" s="354"/>
      <c r="CX56" s="355"/>
      <c r="CY56" s="354"/>
      <c r="CZ56" s="355"/>
      <c r="DA56" s="354"/>
      <c r="DB56" s="355"/>
      <c r="DC56" s="354"/>
      <c r="DD56" s="355"/>
      <c r="DE56" s="354"/>
      <c r="DF56" s="355"/>
      <c r="DG56" s="354"/>
      <c r="DH56" s="355"/>
      <c r="DI56" s="354"/>
      <c r="DJ56" s="355"/>
      <c r="DK56" s="354"/>
      <c r="DL56" s="355"/>
      <c r="DM56" s="354"/>
      <c r="DN56" s="355"/>
      <c r="DO56" s="354"/>
      <c r="DP56" s="355"/>
      <c r="DQ56" s="354"/>
      <c r="DR56" s="355"/>
      <c r="DS56" s="354"/>
      <c r="DT56" s="355"/>
      <c r="DU56" s="354"/>
      <c r="DV56" s="355"/>
      <c r="DW56" s="354"/>
      <c r="DX56" s="355"/>
      <c r="DY56" s="354"/>
      <c r="DZ56" s="355"/>
      <c r="EA56" s="354"/>
      <c r="EB56" s="355"/>
      <c r="EC56" s="354"/>
      <c r="ED56" s="355"/>
      <c r="EE56" s="354"/>
      <c r="EF56" s="355"/>
      <c r="EG56" s="354"/>
      <c r="EH56" s="355"/>
      <c r="EI56" s="354"/>
      <c r="EJ56" s="355"/>
      <c r="EK56" s="354"/>
      <c r="EL56" s="355"/>
      <c r="EM56" s="354"/>
      <c r="EN56" s="355"/>
      <c r="EO56" s="354"/>
      <c r="EP56" s="355"/>
      <c r="EQ56" s="354"/>
      <c r="ER56" s="355"/>
      <c r="ES56" s="354"/>
      <c r="ET56" s="355"/>
      <c r="EU56" s="354"/>
      <c r="EV56" s="355"/>
      <c r="EW56" s="354"/>
      <c r="EX56" s="355"/>
      <c r="EY56" s="354"/>
      <c r="EZ56" s="355"/>
      <c r="FA56" s="354"/>
      <c r="FB56" s="355"/>
      <c r="FC56" s="354"/>
      <c r="FD56" s="355"/>
      <c r="FE56" s="354"/>
      <c r="FF56" s="355"/>
      <c r="FG56" s="354"/>
      <c r="FH56" s="355"/>
      <c r="FI56" s="354"/>
      <c r="FJ56" s="355"/>
      <c r="FK56" s="354"/>
      <c r="FL56" s="355"/>
      <c r="FM56" s="354"/>
      <c r="FN56" s="355"/>
      <c r="FO56" s="354"/>
      <c r="FP56" s="355"/>
      <c r="FQ56" s="354"/>
      <c r="FR56" s="355"/>
      <c r="FS56" s="354"/>
      <c r="FT56" s="355"/>
      <c r="FU56" s="354"/>
      <c r="FV56" s="355"/>
      <c r="FW56" s="354"/>
      <c r="FX56" s="355"/>
      <c r="FY56" s="354"/>
      <c r="FZ56" s="355"/>
      <c r="GA56" s="354"/>
      <c r="GB56" s="355"/>
      <c r="GC56" s="354"/>
      <c r="GD56" s="355"/>
      <c r="GE56" s="354"/>
      <c r="GF56" s="355"/>
      <c r="GG56" s="354"/>
      <c r="GH56" s="355"/>
      <c r="GI56" s="354"/>
      <c r="GJ56" s="355"/>
      <c r="GK56" s="354"/>
      <c r="GL56" s="355"/>
      <c r="GM56" s="354"/>
      <c r="GN56" s="355"/>
      <c r="GO56" s="354"/>
      <c r="GP56" s="355"/>
      <c r="GQ56" s="354"/>
      <c r="GR56" s="355"/>
      <c r="GS56" s="354"/>
      <c r="GT56" s="355"/>
      <c r="GU56" s="354"/>
      <c r="GV56" s="355"/>
      <c r="GW56" s="354"/>
      <c r="GX56" s="355"/>
    </row>
    <row r="57" spans="1:206" ht="24" thickTop="1" x14ac:dyDescent="0.5">
      <c r="A57" s="364"/>
      <c r="B57" s="365"/>
      <c r="C57" s="365"/>
      <c r="D57" s="366"/>
      <c r="E57" s="365"/>
      <c r="F57" s="366"/>
      <c r="G57" s="336"/>
      <c r="H57" s="336"/>
      <c r="I57" s="336"/>
      <c r="J57" s="336"/>
      <c r="K57" s="336"/>
      <c r="L57" s="336"/>
    </row>
    <row r="58" spans="1:206" ht="23.25" x14ac:dyDescent="0.5">
      <c r="A58" s="367" t="s">
        <v>409</v>
      </c>
      <c r="B58" s="368"/>
      <c r="C58" s="319"/>
      <c r="D58" s="369" t="s">
        <v>410</v>
      </c>
      <c r="E58" s="336"/>
      <c r="F58" s="337"/>
      <c r="G58" s="324"/>
      <c r="H58" s="336"/>
      <c r="I58" s="336"/>
      <c r="J58" s="369"/>
      <c r="K58" s="336"/>
      <c r="L58" s="336"/>
    </row>
    <row r="59" spans="1:206" ht="23.25" x14ac:dyDescent="0.5">
      <c r="A59" s="335" t="s">
        <v>500</v>
      </c>
      <c r="B59" s="336"/>
      <c r="C59" s="336"/>
      <c r="D59" s="335" t="s">
        <v>501</v>
      </c>
      <c r="E59" s="336"/>
      <c r="F59" s="337"/>
      <c r="G59" s="336"/>
      <c r="H59" s="336"/>
      <c r="I59" s="336"/>
      <c r="J59" s="336"/>
      <c r="K59" s="336"/>
      <c r="L59" s="336"/>
    </row>
    <row r="60" spans="1:206" ht="23.25" x14ac:dyDescent="0.5">
      <c r="A60" s="335" t="s">
        <v>502</v>
      </c>
      <c r="B60" s="336"/>
      <c r="C60" s="337"/>
      <c r="D60" s="335" t="s">
        <v>502</v>
      </c>
      <c r="E60" s="336"/>
      <c r="F60" s="337"/>
      <c r="G60" s="336"/>
      <c r="H60" s="336"/>
      <c r="I60" s="336"/>
      <c r="J60" s="336"/>
      <c r="K60" s="336"/>
      <c r="L60" s="336"/>
    </row>
    <row r="61" spans="1:206" ht="23.25" x14ac:dyDescent="0.5">
      <c r="A61" s="335" t="s">
        <v>411</v>
      </c>
      <c r="B61" s="336"/>
      <c r="C61" s="337"/>
      <c r="D61" s="335" t="s">
        <v>411</v>
      </c>
      <c r="E61" s="336"/>
      <c r="F61" s="337"/>
      <c r="G61" s="336"/>
      <c r="H61" s="336"/>
      <c r="I61" s="336"/>
      <c r="J61" s="336"/>
      <c r="K61" s="336"/>
      <c r="L61" s="336"/>
    </row>
    <row r="62" spans="1:206" ht="23.25" x14ac:dyDescent="0.5">
      <c r="A62" s="335" t="s">
        <v>757</v>
      </c>
      <c r="B62" s="336"/>
      <c r="C62" s="336"/>
      <c r="D62" s="335" t="s">
        <v>757</v>
      </c>
      <c r="E62" s="336"/>
      <c r="F62" s="337"/>
      <c r="G62" s="336"/>
      <c r="H62" s="336"/>
      <c r="I62" s="336"/>
      <c r="J62" s="336"/>
      <c r="K62" s="336"/>
      <c r="L62" s="336"/>
    </row>
    <row r="63" spans="1:206" ht="23.25" x14ac:dyDescent="0.5">
      <c r="A63" s="364"/>
      <c r="B63" s="365"/>
      <c r="C63" s="370"/>
      <c r="D63" s="365"/>
      <c r="E63" s="365"/>
      <c r="F63" s="366"/>
      <c r="G63" s="336"/>
      <c r="H63" s="336"/>
      <c r="I63" s="373"/>
      <c r="J63" s="336"/>
      <c r="K63" s="336"/>
      <c r="L63" s="336"/>
    </row>
    <row r="67" spans="1:8" ht="29.25" x14ac:dyDescent="0.6">
      <c r="A67" s="314" t="s">
        <v>398</v>
      </c>
      <c r="B67" s="315"/>
      <c r="C67" s="316"/>
      <c r="D67" s="317"/>
      <c r="E67" s="318" t="s">
        <v>745</v>
      </c>
      <c r="F67" s="319"/>
    </row>
    <row r="68" spans="1:8" ht="29.25" x14ac:dyDescent="0.6">
      <c r="A68" s="320" t="s">
        <v>400</v>
      </c>
      <c r="B68" s="321"/>
      <c r="C68" s="322"/>
      <c r="D68" s="323"/>
      <c r="E68" s="324" t="s">
        <v>746</v>
      </c>
      <c r="F68" s="325"/>
    </row>
    <row r="69" spans="1:8" ht="29.25" x14ac:dyDescent="0.6">
      <c r="A69" s="326"/>
      <c r="B69" s="327"/>
      <c r="C69" s="328"/>
      <c r="D69" s="329"/>
      <c r="E69" s="330" t="s">
        <v>13</v>
      </c>
      <c r="F69" s="331"/>
    </row>
    <row r="70" spans="1:8" ht="21" x14ac:dyDescent="0.45">
      <c r="A70" s="332"/>
      <c r="B70" s="317"/>
      <c r="C70" s="317"/>
      <c r="D70" s="333"/>
      <c r="E70" s="334" t="s">
        <v>402</v>
      </c>
      <c r="F70" s="333" t="s">
        <v>9</v>
      </c>
    </row>
    <row r="71" spans="1:8" ht="23.25" x14ac:dyDescent="0.5">
      <c r="A71" s="335" t="s">
        <v>758</v>
      </c>
      <c r="B71" s="171"/>
      <c r="C71" s="336"/>
      <c r="D71" s="337"/>
      <c r="E71" s="338">
        <v>5652183.1600000001</v>
      </c>
      <c r="F71" s="337"/>
    </row>
    <row r="72" spans="1:8" ht="23.25" x14ac:dyDescent="0.5">
      <c r="A72" s="339" t="s">
        <v>403</v>
      </c>
      <c r="B72" s="171"/>
      <c r="C72" s="336"/>
      <c r="D72" s="337"/>
      <c r="E72" s="338">
        <v>0</v>
      </c>
      <c r="F72" s="337"/>
    </row>
    <row r="73" spans="1:8" ht="23.25" x14ac:dyDescent="0.5">
      <c r="A73" s="340" t="s">
        <v>404</v>
      </c>
      <c r="B73" s="336"/>
      <c r="C73" s="336"/>
      <c r="D73" s="341"/>
      <c r="E73" s="336"/>
      <c r="F73" s="337"/>
    </row>
    <row r="74" spans="1:8" ht="23.25" x14ac:dyDescent="0.5">
      <c r="A74" s="610"/>
      <c r="B74" s="342"/>
      <c r="C74" s="342"/>
      <c r="D74" s="343"/>
      <c r="E74" s="336"/>
      <c r="F74" s="337"/>
    </row>
    <row r="75" spans="1:8" ht="23.25" x14ac:dyDescent="0.5">
      <c r="A75" s="344" t="s">
        <v>405</v>
      </c>
      <c r="B75" s="342" t="s">
        <v>406</v>
      </c>
      <c r="C75" s="342"/>
      <c r="D75" s="343" t="s">
        <v>402</v>
      </c>
      <c r="E75" s="336"/>
      <c r="F75" s="337"/>
    </row>
    <row r="76" spans="1:8" ht="23.25" x14ac:dyDescent="0.5">
      <c r="A76" s="345" t="s">
        <v>748</v>
      </c>
      <c r="B76" s="346">
        <v>534657</v>
      </c>
      <c r="C76" s="347"/>
      <c r="D76" s="348">
        <v>9292.34</v>
      </c>
      <c r="E76" s="630"/>
      <c r="F76" s="337"/>
    </row>
    <row r="77" spans="1:8" ht="23.25" x14ac:dyDescent="0.5">
      <c r="A77" s="349"/>
      <c r="B77" s="350"/>
      <c r="C77" s="351"/>
      <c r="D77" s="352"/>
      <c r="E77" s="336"/>
      <c r="F77" s="337"/>
    </row>
    <row r="78" spans="1:8" ht="23.25" x14ac:dyDescent="0.5">
      <c r="A78" s="345"/>
      <c r="B78" s="346"/>
      <c r="C78" s="342"/>
      <c r="D78" s="348"/>
      <c r="E78" s="353">
        <v>0</v>
      </c>
      <c r="F78" s="337"/>
      <c r="H78">
        <v>3</v>
      </c>
    </row>
    <row r="79" spans="1:8" ht="23.25" x14ac:dyDescent="0.5">
      <c r="A79" s="345"/>
      <c r="B79" s="346"/>
      <c r="C79" s="342"/>
      <c r="D79" s="348"/>
      <c r="E79" s="353"/>
      <c r="F79" s="337"/>
    </row>
    <row r="80" spans="1:8" ht="24" thickBot="1" x14ac:dyDescent="0.55000000000000004">
      <c r="A80" s="345"/>
      <c r="B80" s="346"/>
      <c r="C80" s="356" t="s">
        <v>151</v>
      </c>
      <c r="D80" s="620">
        <f>D76+D79</f>
        <v>9292.34</v>
      </c>
      <c r="E80" s="631">
        <f>+D80</f>
        <v>9292.34</v>
      </c>
      <c r="F80" s="337"/>
    </row>
    <row r="81" spans="1:206" ht="24" thickTop="1" x14ac:dyDescent="0.5">
      <c r="A81" s="357" t="s">
        <v>407</v>
      </c>
      <c r="B81" s="336"/>
      <c r="C81" s="336"/>
      <c r="D81" s="358"/>
      <c r="E81" s="354"/>
      <c r="F81" s="337"/>
    </row>
    <row r="82" spans="1:206" ht="23.25" x14ac:dyDescent="0.5">
      <c r="A82" s="357" t="s">
        <v>749</v>
      </c>
      <c r="B82" s="336"/>
      <c r="C82" s="336"/>
      <c r="D82" s="358"/>
      <c r="E82" s="632">
        <v>14375.57</v>
      </c>
      <c r="F82" s="337"/>
    </row>
    <row r="83" spans="1:206" ht="23.25" x14ac:dyDescent="0.5">
      <c r="A83" s="357" t="s">
        <v>750</v>
      </c>
      <c r="B83" s="336"/>
      <c r="C83" s="336"/>
      <c r="D83" s="358"/>
      <c r="E83" s="632">
        <v>5489.74</v>
      </c>
      <c r="F83" s="337"/>
    </row>
    <row r="84" spans="1:206" ht="23.25" x14ac:dyDescent="0.5">
      <c r="A84" s="357" t="s">
        <v>759</v>
      </c>
      <c r="B84" s="336"/>
      <c r="C84" s="336"/>
      <c r="D84" s="358"/>
      <c r="E84" s="633">
        <v>33122.75</v>
      </c>
      <c r="F84" s="337"/>
    </row>
    <row r="85" spans="1:206" ht="23.25" x14ac:dyDescent="0.5">
      <c r="A85" s="357" t="s">
        <v>752</v>
      </c>
      <c r="B85" s="336"/>
      <c r="C85" s="336"/>
      <c r="D85" s="358"/>
      <c r="E85" s="633">
        <v>0.01</v>
      </c>
      <c r="F85" s="337"/>
    </row>
    <row r="86" spans="1:206" ht="23.25" x14ac:dyDescent="0.5">
      <c r="A86" s="359"/>
      <c r="B86" s="336"/>
      <c r="C86" s="336"/>
      <c r="D86" s="360"/>
      <c r="E86" s="335"/>
      <c r="F86" s="337"/>
    </row>
    <row r="87" spans="1:206" ht="23.25" x14ac:dyDescent="0.5">
      <c r="A87" s="340" t="s">
        <v>408</v>
      </c>
      <c r="B87" s="336"/>
      <c r="C87" s="336"/>
      <c r="D87" s="337"/>
      <c r="E87" s="633"/>
      <c r="F87" s="337"/>
    </row>
    <row r="88" spans="1:206" ht="23.25" x14ac:dyDescent="0.5">
      <c r="A88" s="893"/>
      <c r="B88" s="894"/>
      <c r="C88" s="894"/>
      <c r="D88" s="895"/>
      <c r="E88" s="361"/>
      <c r="F88" s="634"/>
    </row>
    <row r="89" spans="1:206" ht="24" thickBot="1" x14ac:dyDescent="0.55000000000000004">
      <c r="A89" s="359" t="s">
        <v>760</v>
      </c>
      <c r="B89" s="324"/>
      <c r="C89" s="371"/>
      <c r="D89" s="355"/>
      <c r="E89" s="362">
        <f>+E71-E80-E82-E83-E84+E85</f>
        <v>5589902.7699999996</v>
      </c>
      <c r="F89" s="363"/>
      <c r="G89" s="324"/>
      <c r="H89" s="324"/>
      <c r="I89" s="371"/>
      <c r="J89" s="355"/>
      <c r="K89" s="372"/>
      <c r="L89" s="355"/>
      <c r="AF89" s="355"/>
      <c r="AG89" s="354"/>
      <c r="AH89" s="355"/>
      <c r="AI89" s="354"/>
      <c r="AJ89" s="355"/>
      <c r="AK89" s="354"/>
      <c r="AL89" s="355"/>
      <c r="AM89" s="354"/>
      <c r="AN89" s="355"/>
      <c r="AO89" s="354"/>
      <c r="AP89" s="355"/>
      <c r="AQ89" s="354"/>
      <c r="AR89" s="355"/>
      <c r="AS89" s="354"/>
      <c r="AT89" s="355"/>
      <c r="AU89" s="354"/>
      <c r="AV89" s="355"/>
      <c r="AW89" s="354"/>
      <c r="AX89" s="355"/>
      <c r="AY89" s="354"/>
      <c r="AZ89" s="355"/>
      <c r="BA89" s="354"/>
      <c r="BB89" s="355"/>
      <c r="BC89" s="354"/>
      <c r="BD89" s="355"/>
      <c r="BE89" s="354"/>
      <c r="BF89" s="355"/>
      <c r="BG89" s="354"/>
      <c r="BH89" s="355"/>
      <c r="BI89" s="354"/>
      <c r="BJ89" s="355"/>
      <c r="BK89" s="354"/>
      <c r="BL89" s="355"/>
      <c r="BM89" s="354"/>
      <c r="BN89" s="355"/>
      <c r="BO89" s="354"/>
      <c r="BP89" s="355"/>
      <c r="BQ89" s="354"/>
      <c r="BR89" s="355"/>
      <c r="BS89" s="354"/>
      <c r="BT89" s="355"/>
      <c r="BU89" s="354"/>
      <c r="BV89" s="355"/>
      <c r="BW89" s="354"/>
      <c r="BX89" s="355"/>
      <c r="BY89" s="354"/>
      <c r="BZ89" s="355"/>
      <c r="CA89" s="354"/>
      <c r="CB89" s="355"/>
      <c r="CC89" s="354"/>
      <c r="CD89" s="355"/>
      <c r="CE89" s="354"/>
      <c r="CF89" s="355"/>
      <c r="CG89" s="354"/>
      <c r="CH89" s="355"/>
      <c r="CI89" s="354"/>
      <c r="CJ89" s="355"/>
      <c r="CK89" s="354"/>
      <c r="CL89" s="355"/>
      <c r="CM89" s="354"/>
      <c r="CN89" s="355"/>
      <c r="CO89" s="354"/>
      <c r="CP89" s="355"/>
      <c r="CQ89" s="354"/>
      <c r="CR89" s="355"/>
      <c r="CS89" s="354"/>
      <c r="CT89" s="355"/>
      <c r="CU89" s="354"/>
      <c r="CV89" s="355"/>
      <c r="CW89" s="354"/>
      <c r="CX89" s="355"/>
      <c r="CY89" s="354"/>
      <c r="CZ89" s="355"/>
      <c r="DA89" s="354"/>
      <c r="DB89" s="355"/>
      <c r="DC89" s="354"/>
      <c r="DD89" s="355"/>
      <c r="DE89" s="354"/>
      <c r="DF89" s="355"/>
      <c r="DG89" s="354"/>
      <c r="DH89" s="355"/>
      <c r="DI89" s="354"/>
      <c r="DJ89" s="355"/>
      <c r="DK89" s="354"/>
      <c r="DL89" s="355"/>
      <c r="DM89" s="354"/>
      <c r="DN89" s="355"/>
      <c r="DO89" s="354"/>
      <c r="DP89" s="355"/>
      <c r="DQ89" s="354"/>
      <c r="DR89" s="355"/>
      <c r="DS89" s="354"/>
      <c r="DT89" s="355"/>
      <c r="DU89" s="354"/>
      <c r="DV89" s="355"/>
      <c r="DW89" s="354"/>
      <c r="DX89" s="355"/>
      <c r="DY89" s="354"/>
      <c r="DZ89" s="355"/>
      <c r="EA89" s="354"/>
      <c r="EB89" s="355"/>
      <c r="EC89" s="354"/>
      <c r="ED89" s="355"/>
      <c r="EE89" s="354"/>
      <c r="EF89" s="355"/>
      <c r="EG89" s="354"/>
      <c r="EH89" s="355"/>
      <c r="EI89" s="354"/>
      <c r="EJ89" s="355"/>
      <c r="EK89" s="354"/>
      <c r="EL89" s="355"/>
      <c r="EM89" s="354"/>
      <c r="EN89" s="355"/>
      <c r="EO89" s="354"/>
      <c r="EP89" s="355"/>
      <c r="EQ89" s="354"/>
      <c r="ER89" s="355"/>
      <c r="ES89" s="354"/>
      <c r="ET89" s="355"/>
      <c r="EU89" s="354"/>
      <c r="EV89" s="355"/>
      <c r="EW89" s="354"/>
      <c r="EX89" s="355"/>
      <c r="EY89" s="354"/>
      <c r="EZ89" s="355"/>
      <c r="FA89" s="354"/>
      <c r="FB89" s="355"/>
      <c r="FC89" s="354"/>
      <c r="FD89" s="355"/>
      <c r="FE89" s="354"/>
      <c r="FF89" s="355"/>
      <c r="FG89" s="354"/>
      <c r="FH89" s="355"/>
      <c r="FI89" s="354"/>
      <c r="FJ89" s="355"/>
      <c r="FK89" s="354"/>
      <c r="FL89" s="355"/>
      <c r="FM89" s="354"/>
      <c r="FN89" s="355"/>
      <c r="FO89" s="354"/>
      <c r="FP89" s="355"/>
      <c r="FQ89" s="354"/>
      <c r="FR89" s="355"/>
      <c r="FS89" s="354"/>
      <c r="FT89" s="355"/>
      <c r="FU89" s="354"/>
      <c r="FV89" s="355"/>
      <c r="FW89" s="354"/>
      <c r="FX89" s="355"/>
      <c r="FY89" s="354"/>
      <c r="FZ89" s="355"/>
      <c r="GA89" s="354"/>
      <c r="GB89" s="355"/>
      <c r="GC89" s="354"/>
      <c r="GD89" s="355"/>
      <c r="GE89" s="354"/>
      <c r="GF89" s="355"/>
      <c r="GG89" s="354"/>
      <c r="GH89" s="355"/>
      <c r="GI89" s="354"/>
      <c r="GJ89" s="355"/>
      <c r="GK89" s="354"/>
      <c r="GL89" s="355"/>
      <c r="GM89" s="354"/>
      <c r="GN89" s="355"/>
      <c r="GO89" s="354"/>
      <c r="GP89" s="355"/>
      <c r="GQ89" s="354"/>
      <c r="GR89" s="355"/>
      <c r="GS89" s="354"/>
      <c r="GT89" s="355"/>
      <c r="GU89" s="354"/>
      <c r="GV89" s="355"/>
      <c r="GW89" s="354"/>
      <c r="GX89" s="355"/>
    </row>
    <row r="90" spans="1:206" ht="24" thickTop="1" x14ac:dyDescent="0.5">
      <c r="A90" s="364"/>
      <c r="B90" s="365"/>
      <c r="C90" s="365"/>
      <c r="D90" s="366"/>
      <c r="E90" s="365"/>
      <c r="F90" s="366"/>
      <c r="G90" s="336"/>
      <c r="H90" s="336"/>
      <c r="I90" s="336"/>
      <c r="J90" s="336"/>
      <c r="K90" s="336"/>
      <c r="L90" s="336"/>
    </row>
    <row r="91" spans="1:206" ht="23.25" x14ac:dyDescent="0.5">
      <c r="A91" s="367" t="s">
        <v>409</v>
      </c>
      <c r="B91" s="368"/>
      <c r="C91" s="319"/>
      <c r="D91" s="369" t="s">
        <v>410</v>
      </c>
      <c r="E91" s="336"/>
      <c r="F91" s="337"/>
      <c r="G91" s="324"/>
      <c r="H91" s="336"/>
      <c r="I91" s="336"/>
      <c r="J91" s="369"/>
      <c r="K91" s="336"/>
      <c r="L91" s="336"/>
    </row>
    <row r="92" spans="1:206" ht="23.25" x14ac:dyDescent="0.5">
      <c r="A92" s="335" t="s">
        <v>500</v>
      </c>
      <c r="B92" s="336"/>
      <c r="C92" s="336"/>
      <c r="D92" s="335" t="s">
        <v>501</v>
      </c>
      <c r="E92" s="336"/>
      <c r="F92" s="337"/>
      <c r="G92" s="336"/>
      <c r="H92" s="336"/>
      <c r="I92" s="336"/>
      <c r="J92" s="336"/>
      <c r="K92" s="336"/>
      <c r="L92" s="336"/>
    </row>
    <row r="93" spans="1:206" ht="23.25" x14ac:dyDescent="0.5">
      <c r="A93" s="335" t="s">
        <v>502</v>
      </c>
      <c r="B93" s="336"/>
      <c r="C93" s="337"/>
      <c r="D93" s="335" t="s">
        <v>502</v>
      </c>
      <c r="E93" s="336"/>
      <c r="F93" s="337"/>
      <c r="G93" s="336"/>
      <c r="H93" s="336"/>
      <c r="I93" s="336"/>
      <c r="J93" s="336"/>
      <c r="K93" s="336"/>
      <c r="L93" s="336"/>
    </row>
    <row r="94" spans="1:206" ht="23.25" x14ac:dyDescent="0.5">
      <c r="A94" s="335" t="s">
        <v>411</v>
      </c>
      <c r="B94" s="336"/>
      <c r="C94" s="337"/>
      <c r="D94" s="335" t="s">
        <v>411</v>
      </c>
      <c r="E94" s="336"/>
      <c r="F94" s="337"/>
      <c r="G94" s="336"/>
      <c r="H94" s="336"/>
      <c r="I94" s="336"/>
      <c r="J94" s="336"/>
      <c r="K94" s="336"/>
      <c r="L94" s="336"/>
    </row>
    <row r="95" spans="1:206" ht="23.25" x14ac:dyDescent="0.5">
      <c r="A95" s="335" t="s">
        <v>761</v>
      </c>
      <c r="B95" s="336"/>
      <c r="C95" s="336"/>
      <c r="D95" s="335" t="s">
        <v>761</v>
      </c>
      <c r="E95" s="336"/>
      <c r="F95" s="337"/>
      <c r="G95" s="336"/>
      <c r="H95" s="336"/>
      <c r="I95" s="336"/>
      <c r="J95" s="336"/>
      <c r="K95" s="336"/>
      <c r="L95" s="336"/>
    </row>
    <row r="96" spans="1:206" ht="23.25" x14ac:dyDescent="0.5">
      <c r="A96" s="364"/>
      <c r="B96" s="365"/>
      <c r="C96" s="370"/>
      <c r="D96" s="365"/>
      <c r="E96" s="365"/>
      <c r="F96" s="366"/>
      <c r="G96" s="336"/>
      <c r="H96" s="336"/>
      <c r="I96" s="373"/>
      <c r="J96" s="336"/>
      <c r="K96" s="336"/>
      <c r="L96" s="336"/>
    </row>
    <row r="100" spans="1:8" ht="29.25" x14ac:dyDescent="0.6">
      <c r="A100" s="314" t="s">
        <v>398</v>
      </c>
      <c r="B100" s="315"/>
      <c r="C100" s="316"/>
      <c r="D100" s="317"/>
      <c r="E100" s="318" t="s">
        <v>745</v>
      </c>
      <c r="F100" s="319"/>
    </row>
    <row r="101" spans="1:8" ht="29.25" x14ac:dyDescent="0.6">
      <c r="A101" s="320" t="s">
        <v>400</v>
      </c>
      <c r="B101" s="321"/>
      <c r="C101" s="322"/>
      <c r="D101" s="323"/>
      <c r="E101" s="324" t="s">
        <v>746</v>
      </c>
      <c r="F101" s="325"/>
    </row>
    <row r="102" spans="1:8" ht="29.25" x14ac:dyDescent="0.6">
      <c r="A102" s="326"/>
      <c r="B102" s="327"/>
      <c r="C102" s="328"/>
      <c r="D102" s="329"/>
      <c r="E102" s="330" t="s">
        <v>13</v>
      </c>
      <c r="F102" s="331"/>
    </row>
    <row r="103" spans="1:8" ht="21" x14ac:dyDescent="0.45">
      <c r="A103" s="332"/>
      <c r="B103" s="317"/>
      <c r="C103" s="317"/>
      <c r="D103" s="333"/>
      <c r="E103" s="334" t="s">
        <v>402</v>
      </c>
      <c r="F103" s="333" t="s">
        <v>9</v>
      </c>
    </row>
    <row r="104" spans="1:8" ht="23.25" x14ac:dyDescent="0.5">
      <c r="A104" s="335" t="s">
        <v>762</v>
      </c>
      <c r="B104" s="171"/>
      <c r="C104" s="336"/>
      <c r="D104" s="337"/>
      <c r="E104" s="338">
        <v>5302678.5599999996</v>
      </c>
      <c r="F104" s="337"/>
    </row>
    <row r="105" spans="1:8" ht="23.25" x14ac:dyDescent="0.5">
      <c r="A105" s="339" t="s">
        <v>403</v>
      </c>
      <c r="B105" s="171"/>
      <c r="C105" s="336"/>
      <c r="D105" s="337"/>
      <c r="E105" s="338">
        <v>0</v>
      </c>
      <c r="F105" s="337"/>
    </row>
    <row r="106" spans="1:8" ht="23.25" x14ac:dyDescent="0.5">
      <c r="A106" s="340" t="s">
        <v>404</v>
      </c>
      <c r="B106" s="336"/>
      <c r="C106" s="336"/>
      <c r="D106" s="341"/>
      <c r="E106" s="336"/>
      <c r="F106" s="337"/>
    </row>
    <row r="107" spans="1:8" ht="23.25" x14ac:dyDescent="0.5">
      <c r="A107" s="610"/>
      <c r="B107" s="342"/>
      <c r="C107" s="342"/>
      <c r="D107" s="343"/>
      <c r="E107" s="336"/>
      <c r="F107" s="337"/>
    </row>
    <row r="108" spans="1:8" ht="23.25" x14ac:dyDescent="0.5">
      <c r="A108" s="344" t="s">
        <v>405</v>
      </c>
      <c r="B108" s="342" t="s">
        <v>406</v>
      </c>
      <c r="C108" s="342"/>
      <c r="D108" s="343" t="s">
        <v>402</v>
      </c>
      <c r="E108" s="336"/>
      <c r="F108" s="337"/>
      <c r="H108">
        <v>4</v>
      </c>
    </row>
    <row r="109" spans="1:8" ht="23.25" x14ac:dyDescent="0.5">
      <c r="A109" s="345" t="s">
        <v>748</v>
      </c>
      <c r="B109" s="346">
        <v>534657</v>
      </c>
      <c r="C109" s="347"/>
      <c r="D109" s="348">
        <v>9292.34</v>
      </c>
      <c r="E109" s="630"/>
      <c r="F109" s="337"/>
    </row>
    <row r="110" spans="1:8" ht="23.25" x14ac:dyDescent="0.5">
      <c r="A110" s="349"/>
      <c r="B110" s="350"/>
      <c r="C110" s="351"/>
      <c r="D110" s="352"/>
      <c r="E110" s="336"/>
      <c r="F110" s="337"/>
    </row>
    <row r="111" spans="1:8" ht="23.25" x14ac:dyDescent="0.5">
      <c r="A111" s="345"/>
      <c r="B111" s="346"/>
      <c r="C111" s="342"/>
      <c r="D111" s="348"/>
      <c r="E111" s="353">
        <v>0</v>
      </c>
      <c r="F111" s="337"/>
    </row>
    <row r="112" spans="1:8" ht="23.25" x14ac:dyDescent="0.5">
      <c r="A112" s="345"/>
      <c r="B112" s="346"/>
      <c r="C112" s="342"/>
      <c r="D112" s="348"/>
      <c r="E112" s="353"/>
      <c r="F112" s="337"/>
    </row>
    <row r="113" spans="1:206" ht="24" thickBot="1" x14ac:dyDescent="0.55000000000000004">
      <c r="A113" s="345"/>
      <c r="B113" s="346"/>
      <c r="C113" s="356" t="s">
        <v>151</v>
      </c>
      <c r="D113" s="620">
        <f>D109+D112</f>
        <v>9292.34</v>
      </c>
      <c r="E113" s="631">
        <f>+D113</f>
        <v>9292.34</v>
      </c>
      <c r="F113" s="337"/>
    </row>
    <row r="114" spans="1:206" ht="24" thickTop="1" x14ac:dyDescent="0.5">
      <c r="A114" s="357" t="s">
        <v>407</v>
      </c>
      <c r="B114" s="336"/>
      <c r="C114" s="336"/>
      <c r="D114" s="358"/>
      <c r="E114" s="354"/>
      <c r="F114" s="337"/>
    </row>
    <row r="115" spans="1:206" ht="23.25" x14ac:dyDescent="0.5">
      <c r="A115" s="357" t="s">
        <v>749</v>
      </c>
      <c r="B115" s="336"/>
      <c r="C115" s="336"/>
      <c r="D115" s="358"/>
      <c r="E115" s="632">
        <v>14375.57</v>
      </c>
      <c r="F115" s="337"/>
    </row>
    <row r="116" spans="1:206" ht="23.25" x14ac:dyDescent="0.5">
      <c r="A116" s="357" t="s">
        <v>750</v>
      </c>
      <c r="B116" s="336"/>
      <c r="C116" s="336"/>
      <c r="D116" s="358"/>
      <c r="E116" s="632">
        <v>5489.74</v>
      </c>
      <c r="F116" s="337"/>
    </row>
    <row r="117" spans="1:206" ht="23.25" x14ac:dyDescent="0.5">
      <c r="A117" s="357"/>
      <c r="B117" s="336"/>
      <c r="C117" s="336"/>
      <c r="D117" s="358"/>
      <c r="E117" s="633"/>
      <c r="F117" s="337"/>
    </row>
    <row r="118" spans="1:206" ht="23.25" x14ac:dyDescent="0.5">
      <c r="A118" s="357" t="s">
        <v>752</v>
      </c>
      <c r="B118" s="336"/>
      <c r="C118" s="336"/>
      <c r="D118" s="358"/>
      <c r="E118" s="633">
        <v>0.01</v>
      </c>
      <c r="F118" s="337"/>
    </row>
    <row r="119" spans="1:206" ht="23.25" x14ac:dyDescent="0.5">
      <c r="A119" s="359"/>
      <c r="B119" s="336"/>
      <c r="C119" s="336"/>
      <c r="D119" s="360"/>
      <c r="E119" s="335"/>
      <c r="F119" s="337"/>
    </row>
    <row r="120" spans="1:206" ht="23.25" x14ac:dyDescent="0.5">
      <c r="A120" s="340" t="s">
        <v>408</v>
      </c>
      <c r="B120" s="336"/>
      <c r="C120" s="336"/>
      <c r="D120" s="337"/>
      <c r="E120" s="633"/>
      <c r="F120" s="337"/>
    </row>
    <row r="121" spans="1:206" ht="23.25" x14ac:dyDescent="0.5">
      <c r="A121" s="893"/>
      <c r="B121" s="894"/>
      <c r="C121" s="894"/>
      <c r="D121" s="895"/>
      <c r="E121" s="361"/>
      <c r="F121" s="634"/>
    </row>
    <row r="122" spans="1:206" ht="24" thickBot="1" x14ac:dyDescent="0.55000000000000004">
      <c r="A122" s="359" t="s">
        <v>763</v>
      </c>
      <c r="B122" s="324"/>
      <c r="C122" s="371"/>
      <c r="D122" s="355"/>
      <c r="E122" s="362">
        <f>+E104-E113-E115-E116-E117+E118</f>
        <v>5273520.919999999</v>
      </c>
      <c r="F122" s="363"/>
      <c r="G122" s="324"/>
      <c r="H122" s="324"/>
      <c r="I122" s="371"/>
      <c r="J122" s="355"/>
      <c r="K122" s="372"/>
      <c r="L122" s="355"/>
      <c r="AF122" s="355"/>
      <c r="AG122" s="354"/>
      <c r="AH122" s="355"/>
      <c r="AI122" s="354"/>
      <c r="AJ122" s="355"/>
      <c r="AK122" s="354"/>
      <c r="AL122" s="355"/>
      <c r="AM122" s="354"/>
      <c r="AN122" s="355"/>
      <c r="AO122" s="354"/>
      <c r="AP122" s="355"/>
      <c r="AQ122" s="354"/>
      <c r="AR122" s="355"/>
      <c r="AS122" s="354"/>
      <c r="AT122" s="355"/>
      <c r="AU122" s="354"/>
      <c r="AV122" s="355"/>
      <c r="AW122" s="354"/>
      <c r="AX122" s="355"/>
      <c r="AY122" s="354"/>
      <c r="AZ122" s="355"/>
      <c r="BA122" s="354"/>
      <c r="BB122" s="355"/>
      <c r="BC122" s="354"/>
      <c r="BD122" s="355"/>
      <c r="BE122" s="354"/>
      <c r="BF122" s="355"/>
      <c r="BG122" s="354"/>
      <c r="BH122" s="355"/>
      <c r="BI122" s="354"/>
      <c r="BJ122" s="355"/>
      <c r="BK122" s="354"/>
      <c r="BL122" s="355"/>
      <c r="BM122" s="354"/>
      <c r="BN122" s="355"/>
      <c r="BO122" s="354"/>
      <c r="BP122" s="355"/>
      <c r="BQ122" s="354"/>
      <c r="BR122" s="355"/>
      <c r="BS122" s="354"/>
      <c r="BT122" s="355"/>
      <c r="BU122" s="354"/>
      <c r="BV122" s="355"/>
      <c r="BW122" s="354"/>
      <c r="BX122" s="355"/>
      <c r="BY122" s="354"/>
      <c r="BZ122" s="355"/>
      <c r="CA122" s="354"/>
      <c r="CB122" s="355"/>
      <c r="CC122" s="354"/>
      <c r="CD122" s="355"/>
      <c r="CE122" s="354"/>
      <c r="CF122" s="355"/>
      <c r="CG122" s="354"/>
      <c r="CH122" s="355"/>
      <c r="CI122" s="354"/>
      <c r="CJ122" s="355"/>
      <c r="CK122" s="354"/>
      <c r="CL122" s="355"/>
      <c r="CM122" s="354"/>
      <c r="CN122" s="355"/>
      <c r="CO122" s="354"/>
      <c r="CP122" s="355"/>
      <c r="CQ122" s="354"/>
      <c r="CR122" s="355"/>
      <c r="CS122" s="354"/>
      <c r="CT122" s="355"/>
      <c r="CU122" s="354"/>
      <c r="CV122" s="355"/>
      <c r="CW122" s="354"/>
      <c r="CX122" s="355"/>
      <c r="CY122" s="354"/>
      <c r="CZ122" s="355"/>
      <c r="DA122" s="354"/>
      <c r="DB122" s="355"/>
      <c r="DC122" s="354"/>
      <c r="DD122" s="355"/>
      <c r="DE122" s="354"/>
      <c r="DF122" s="355"/>
      <c r="DG122" s="354"/>
      <c r="DH122" s="355"/>
      <c r="DI122" s="354"/>
      <c r="DJ122" s="355"/>
      <c r="DK122" s="354"/>
      <c r="DL122" s="355"/>
      <c r="DM122" s="354"/>
      <c r="DN122" s="355"/>
      <c r="DO122" s="354"/>
      <c r="DP122" s="355"/>
      <c r="DQ122" s="354"/>
      <c r="DR122" s="355"/>
      <c r="DS122" s="354"/>
      <c r="DT122" s="355"/>
      <c r="DU122" s="354"/>
      <c r="DV122" s="355"/>
      <c r="DW122" s="354"/>
      <c r="DX122" s="355"/>
      <c r="DY122" s="354"/>
      <c r="DZ122" s="355"/>
      <c r="EA122" s="354"/>
      <c r="EB122" s="355"/>
      <c r="EC122" s="354"/>
      <c r="ED122" s="355"/>
      <c r="EE122" s="354"/>
      <c r="EF122" s="355"/>
      <c r="EG122" s="354"/>
      <c r="EH122" s="355"/>
      <c r="EI122" s="354"/>
      <c r="EJ122" s="355"/>
      <c r="EK122" s="354"/>
      <c r="EL122" s="355"/>
      <c r="EM122" s="354"/>
      <c r="EN122" s="355"/>
      <c r="EO122" s="354"/>
      <c r="EP122" s="355"/>
      <c r="EQ122" s="354"/>
      <c r="ER122" s="355"/>
      <c r="ES122" s="354"/>
      <c r="ET122" s="355"/>
      <c r="EU122" s="354"/>
      <c r="EV122" s="355"/>
      <c r="EW122" s="354"/>
      <c r="EX122" s="355"/>
      <c r="EY122" s="354"/>
      <c r="EZ122" s="355"/>
      <c r="FA122" s="354"/>
      <c r="FB122" s="355"/>
      <c r="FC122" s="354"/>
      <c r="FD122" s="355"/>
      <c r="FE122" s="354"/>
      <c r="FF122" s="355"/>
      <c r="FG122" s="354"/>
      <c r="FH122" s="355"/>
      <c r="FI122" s="354"/>
      <c r="FJ122" s="355"/>
      <c r="FK122" s="354"/>
      <c r="FL122" s="355"/>
      <c r="FM122" s="354"/>
      <c r="FN122" s="355"/>
      <c r="FO122" s="354"/>
      <c r="FP122" s="355"/>
      <c r="FQ122" s="354"/>
      <c r="FR122" s="355"/>
      <c r="FS122" s="354"/>
      <c r="FT122" s="355"/>
      <c r="FU122" s="354"/>
      <c r="FV122" s="355"/>
      <c r="FW122" s="354"/>
      <c r="FX122" s="355"/>
      <c r="FY122" s="354"/>
      <c r="FZ122" s="355"/>
      <c r="GA122" s="354"/>
      <c r="GB122" s="355"/>
      <c r="GC122" s="354"/>
      <c r="GD122" s="355"/>
      <c r="GE122" s="354"/>
      <c r="GF122" s="355"/>
      <c r="GG122" s="354"/>
      <c r="GH122" s="355"/>
      <c r="GI122" s="354"/>
      <c r="GJ122" s="355"/>
      <c r="GK122" s="354"/>
      <c r="GL122" s="355"/>
      <c r="GM122" s="354"/>
      <c r="GN122" s="355"/>
      <c r="GO122" s="354"/>
      <c r="GP122" s="355"/>
      <c r="GQ122" s="354"/>
      <c r="GR122" s="355"/>
      <c r="GS122" s="354"/>
      <c r="GT122" s="355"/>
      <c r="GU122" s="354"/>
      <c r="GV122" s="355"/>
      <c r="GW122" s="354"/>
      <c r="GX122" s="355"/>
    </row>
    <row r="123" spans="1:206" ht="24" thickTop="1" x14ac:dyDescent="0.5">
      <c r="A123" s="364"/>
      <c r="B123" s="365"/>
      <c r="C123" s="365"/>
      <c r="D123" s="366"/>
      <c r="E123" s="365"/>
      <c r="F123" s="366"/>
      <c r="G123" s="336"/>
      <c r="H123" s="336"/>
      <c r="I123" s="336"/>
      <c r="J123" s="336"/>
      <c r="K123" s="336"/>
      <c r="L123" s="336"/>
    </row>
    <row r="124" spans="1:206" ht="23.25" x14ac:dyDescent="0.5">
      <c r="A124" s="367" t="s">
        <v>409</v>
      </c>
      <c r="B124" s="368"/>
      <c r="C124" s="319"/>
      <c r="D124" s="369" t="s">
        <v>410</v>
      </c>
      <c r="E124" s="336"/>
      <c r="F124" s="337"/>
      <c r="G124" s="324"/>
      <c r="H124" s="336"/>
      <c r="I124" s="336"/>
      <c r="J124" s="369"/>
      <c r="K124" s="336"/>
      <c r="L124" s="336"/>
    </row>
    <row r="125" spans="1:206" ht="23.25" x14ac:dyDescent="0.5">
      <c r="A125" s="335" t="s">
        <v>500</v>
      </c>
      <c r="B125" s="336"/>
      <c r="C125" s="336"/>
      <c r="D125" s="335" t="s">
        <v>501</v>
      </c>
      <c r="E125" s="336"/>
      <c r="F125" s="337"/>
      <c r="G125" s="336"/>
      <c r="H125" s="336"/>
      <c r="I125" s="336"/>
      <c r="J125" s="336"/>
      <c r="K125" s="336"/>
      <c r="L125" s="336"/>
    </row>
    <row r="126" spans="1:206" ht="23.25" x14ac:dyDescent="0.5">
      <c r="A126" s="335" t="s">
        <v>502</v>
      </c>
      <c r="B126" s="336"/>
      <c r="C126" s="337"/>
      <c r="D126" s="335" t="s">
        <v>502</v>
      </c>
      <c r="E126" s="336"/>
      <c r="F126" s="337"/>
      <c r="G126" s="336"/>
      <c r="H126" s="336"/>
      <c r="I126" s="336"/>
      <c r="J126" s="336"/>
      <c r="K126" s="336"/>
      <c r="L126" s="336"/>
    </row>
    <row r="127" spans="1:206" ht="23.25" x14ac:dyDescent="0.5">
      <c r="A127" s="335" t="s">
        <v>411</v>
      </c>
      <c r="B127" s="336"/>
      <c r="C127" s="337"/>
      <c r="D127" s="335" t="s">
        <v>411</v>
      </c>
      <c r="E127" s="336"/>
      <c r="F127" s="337"/>
      <c r="G127" s="336"/>
      <c r="H127" s="336"/>
      <c r="I127" s="336"/>
      <c r="J127" s="336"/>
      <c r="K127" s="336"/>
      <c r="L127" s="336"/>
    </row>
    <row r="128" spans="1:206" ht="23.25" x14ac:dyDescent="0.5">
      <c r="A128" s="335" t="s">
        <v>764</v>
      </c>
      <c r="B128" s="336"/>
      <c r="C128" s="336"/>
      <c r="D128" s="335" t="s">
        <v>764</v>
      </c>
      <c r="E128" s="336"/>
      <c r="F128" s="337"/>
      <c r="G128" s="336"/>
      <c r="H128" s="336"/>
      <c r="I128" s="336"/>
      <c r="J128" s="336"/>
      <c r="K128" s="336"/>
      <c r="L128" s="336"/>
    </row>
    <row r="129" spans="1:12" ht="23.25" x14ac:dyDescent="0.5">
      <c r="A129" s="364"/>
      <c r="B129" s="365"/>
      <c r="C129" s="370"/>
      <c r="D129" s="365"/>
      <c r="E129" s="365"/>
      <c r="F129" s="366"/>
      <c r="G129" s="336"/>
      <c r="H129" s="336"/>
      <c r="I129" s="373"/>
      <c r="J129" s="336"/>
      <c r="K129" s="336"/>
      <c r="L129" s="336"/>
    </row>
    <row r="133" spans="1:12" ht="29.25" x14ac:dyDescent="0.6">
      <c r="A133" s="314" t="s">
        <v>398</v>
      </c>
      <c r="B133" s="315"/>
      <c r="C133" s="316"/>
      <c r="D133" s="317"/>
      <c r="E133" s="318" t="s">
        <v>745</v>
      </c>
      <c r="F133" s="319"/>
    </row>
    <row r="134" spans="1:12" ht="29.25" x14ac:dyDescent="0.6">
      <c r="A134" s="320" t="s">
        <v>400</v>
      </c>
      <c r="B134" s="321"/>
      <c r="C134" s="322"/>
      <c r="D134" s="323"/>
      <c r="E134" s="324" t="s">
        <v>746</v>
      </c>
      <c r="F134" s="325"/>
    </row>
    <row r="135" spans="1:12" ht="29.25" x14ac:dyDescent="0.6">
      <c r="A135" s="326"/>
      <c r="B135" s="327"/>
      <c r="C135" s="328"/>
      <c r="D135" s="329"/>
      <c r="E135" s="330" t="s">
        <v>13</v>
      </c>
      <c r="F135" s="331"/>
    </row>
    <row r="136" spans="1:12" ht="21" x14ac:dyDescent="0.45">
      <c r="A136" s="332"/>
      <c r="B136" s="317"/>
      <c r="C136" s="317"/>
      <c r="D136" s="333"/>
      <c r="E136" s="334" t="s">
        <v>402</v>
      </c>
      <c r="F136" s="333" t="s">
        <v>9</v>
      </c>
    </row>
    <row r="137" spans="1:12" ht="23.25" x14ac:dyDescent="0.5">
      <c r="A137" s="335" t="s">
        <v>765</v>
      </c>
      <c r="B137" s="171"/>
      <c r="C137" s="336"/>
      <c r="D137" s="337"/>
      <c r="E137" s="338">
        <v>5091652.9400000004</v>
      </c>
      <c r="F137" s="337"/>
    </row>
    <row r="138" spans="1:12" ht="23.25" x14ac:dyDescent="0.5">
      <c r="A138" s="339" t="s">
        <v>403</v>
      </c>
      <c r="B138" s="171"/>
      <c r="C138" s="336"/>
      <c r="D138" s="337"/>
      <c r="E138" s="338">
        <v>0</v>
      </c>
      <c r="F138" s="337"/>
    </row>
    <row r="139" spans="1:12" ht="23.25" x14ac:dyDescent="0.5">
      <c r="A139" s="340" t="s">
        <v>404</v>
      </c>
      <c r="B139" s="336"/>
      <c r="C139" s="336"/>
      <c r="D139" s="341"/>
      <c r="E139" s="336"/>
      <c r="F139" s="337"/>
    </row>
    <row r="140" spans="1:12" ht="23.25" x14ac:dyDescent="0.5">
      <c r="A140" s="610"/>
      <c r="B140" s="342"/>
      <c r="C140" s="342"/>
      <c r="D140" s="343"/>
      <c r="E140" s="336"/>
      <c r="F140" s="337"/>
    </row>
    <row r="141" spans="1:12" ht="23.25" x14ac:dyDescent="0.5">
      <c r="A141" s="344" t="s">
        <v>405</v>
      </c>
      <c r="B141" s="342" t="s">
        <v>406</v>
      </c>
      <c r="C141" s="342"/>
      <c r="D141" s="343" t="s">
        <v>402</v>
      </c>
      <c r="E141" s="336"/>
      <c r="F141" s="337"/>
      <c r="H141">
        <v>5</v>
      </c>
    </row>
    <row r="142" spans="1:12" ht="23.25" x14ac:dyDescent="0.5">
      <c r="A142" s="345" t="s">
        <v>748</v>
      </c>
      <c r="B142" s="346">
        <v>534657</v>
      </c>
      <c r="C142" s="347"/>
      <c r="D142" s="348">
        <v>9292.34</v>
      </c>
      <c r="E142" s="630"/>
      <c r="F142" s="337"/>
    </row>
    <row r="143" spans="1:12" ht="23.25" x14ac:dyDescent="0.5">
      <c r="A143" s="349" t="s">
        <v>766</v>
      </c>
      <c r="B143" s="350">
        <v>10035261</v>
      </c>
      <c r="C143" s="351"/>
      <c r="D143" s="352">
        <v>3457.38</v>
      </c>
      <c r="E143" s="336"/>
      <c r="F143" s="337"/>
    </row>
    <row r="144" spans="1:12" ht="23.25" x14ac:dyDescent="0.5">
      <c r="A144" s="345"/>
      <c r="B144" s="346"/>
      <c r="C144" s="342"/>
      <c r="D144" s="348"/>
      <c r="E144" s="353">
        <v>0</v>
      </c>
      <c r="F144" s="337"/>
    </row>
    <row r="145" spans="1:206" ht="23.25" x14ac:dyDescent="0.5">
      <c r="A145" s="345"/>
      <c r="B145" s="346"/>
      <c r="C145" s="342"/>
      <c r="D145" s="348"/>
      <c r="E145" s="353"/>
      <c r="F145" s="337"/>
    </row>
    <row r="146" spans="1:206" ht="24" thickBot="1" x14ac:dyDescent="0.55000000000000004">
      <c r="A146" s="345"/>
      <c r="B146" s="346"/>
      <c r="C146" s="356" t="s">
        <v>151</v>
      </c>
      <c r="D146" s="620">
        <f>SUM(D142:D145)</f>
        <v>12749.720000000001</v>
      </c>
      <c r="E146" s="631">
        <f>+D146</f>
        <v>12749.720000000001</v>
      </c>
      <c r="F146" s="337"/>
    </row>
    <row r="147" spans="1:206" ht="24" thickTop="1" x14ac:dyDescent="0.5">
      <c r="A147" s="357" t="s">
        <v>407</v>
      </c>
      <c r="B147" s="336"/>
      <c r="C147" s="336"/>
      <c r="D147" s="358"/>
      <c r="E147" s="354"/>
      <c r="F147" s="337"/>
    </row>
    <row r="148" spans="1:206" ht="23.25" x14ac:dyDescent="0.5">
      <c r="A148" s="357" t="s">
        <v>749</v>
      </c>
      <c r="B148" s="336"/>
      <c r="C148" s="336"/>
      <c r="D148" s="358"/>
      <c r="E148" s="632">
        <v>14375.57</v>
      </c>
      <c r="F148" s="337"/>
    </row>
    <row r="149" spans="1:206" ht="23.25" x14ac:dyDescent="0.5">
      <c r="A149" s="357" t="s">
        <v>750</v>
      </c>
      <c r="B149" s="336"/>
      <c r="C149" s="336"/>
      <c r="D149" s="358"/>
      <c r="E149" s="632">
        <v>5489.74</v>
      </c>
      <c r="F149" s="337"/>
    </row>
    <row r="150" spans="1:206" ht="23.25" x14ac:dyDescent="0.5">
      <c r="A150" s="357"/>
      <c r="B150" s="336"/>
      <c r="C150" s="336"/>
      <c r="D150" s="358"/>
      <c r="E150" s="633"/>
      <c r="F150" s="337"/>
    </row>
    <row r="151" spans="1:206" ht="23.25" x14ac:dyDescent="0.5">
      <c r="A151" s="357" t="s">
        <v>752</v>
      </c>
      <c r="B151" s="336"/>
      <c r="C151" s="336"/>
      <c r="D151" s="358"/>
      <c r="E151" s="633">
        <v>0.01</v>
      </c>
      <c r="F151" s="337"/>
    </row>
    <row r="152" spans="1:206" ht="23.25" x14ac:dyDescent="0.5">
      <c r="A152" s="359"/>
      <c r="B152" s="336"/>
      <c r="C152" s="336"/>
      <c r="D152" s="360"/>
      <c r="E152" s="335"/>
      <c r="F152" s="337"/>
    </row>
    <row r="153" spans="1:206" ht="23.25" x14ac:dyDescent="0.5">
      <c r="A153" s="340" t="s">
        <v>408</v>
      </c>
      <c r="B153" s="336"/>
      <c r="C153" s="336"/>
      <c r="D153" s="337"/>
      <c r="E153" s="633"/>
      <c r="F153" s="337"/>
    </row>
    <row r="154" spans="1:206" ht="23.25" x14ac:dyDescent="0.5">
      <c r="A154" s="893"/>
      <c r="B154" s="894"/>
      <c r="C154" s="894"/>
      <c r="D154" s="895"/>
      <c r="E154" s="361"/>
      <c r="F154" s="634"/>
    </row>
    <row r="155" spans="1:206" ht="24" thickBot="1" x14ac:dyDescent="0.55000000000000004">
      <c r="A155" s="359" t="s">
        <v>767</v>
      </c>
      <c r="B155" s="324"/>
      <c r="C155" s="371"/>
      <c r="D155" s="355"/>
      <c r="E155" s="362">
        <f>+E137-E146-E148-E149-E150+E151</f>
        <v>5059037.92</v>
      </c>
      <c r="F155" s="363"/>
      <c r="G155" s="324"/>
      <c r="H155" s="324"/>
      <c r="I155" s="371"/>
      <c r="J155" s="355"/>
      <c r="K155" s="372"/>
      <c r="L155" s="355"/>
      <c r="AF155" s="355"/>
      <c r="AG155" s="354"/>
      <c r="AH155" s="355"/>
      <c r="AI155" s="354"/>
      <c r="AJ155" s="355"/>
      <c r="AK155" s="354"/>
      <c r="AL155" s="355"/>
      <c r="AM155" s="354"/>
      <c r="AN155" s="355"/>
      <c r="AO155" s="354"/>
      <c r="AP155" s="355"/>
      <c r="AQ155" s="354"/>
      <c r="AR155" s="355"/>
      <c r="AS155" s="354"/>
      <c r="AT155" s="355"/>
      <c r="AU155" s="354"/>
      <c r="AV155" s="355"/>
      <c r="AW155" s="354"/>
      <c r="AX155" s="355"/>
      <c r="AY155" s="354"/>
      <c r="AZ155" s="355"/>
      <c r="BA155" s="354"/>
      <c r="BB155" s="355"/>
      <c r="BC155" s="354"/>
      <c r="BD155" s="355"/>
      <c r="BE155" s="354"/>
      <c r="BF155" s="355"/>
      <c r="BG155" s="354"/>
      <c r="BH155" s="355"/>
      <c r="BI155" s="354"/>
      <c r="BJ155" s="355"/>
      <c r="BK155" s="354"/>
      <c r="BL155" s="355"/>
      <c r="BM155" s="354"/>
      <c r="BN155" s="355"/>
      <c r="BO155" s="354"/>
      <c r="BP155" s="355"/>
      <c r="BQ155" s="354"/>
      <c r="BR155" s="355"/>
      <c r="BS155" s="354"/>
      <c r="BT155" s="355"/>
      <c r="BU155" s="354"/>
      <c r="BV155" s="355"/>
      <c r="BW155" s="354"/>
      <c r="BX155" s="355"/>
      <c r="BY155" s="354"/>
      <c r="BZ155" s="355"/>
      <c r="CA155" s="354"/>
      <c r="CB155" s="355"/>
      <c r="CC155" s="354"/>
      <c r="CD155" s="355"/>
      <c r="CE155" s="354"/>
      <c r="CF155" s="355"/>
      <c r="CG155" s="354"/>
      <c r="CH155" s="355"/>
      <c r="CI155" s="354"/>
      <c r="CJ155" s="355"/>
      <c r="CK155" s="354"/>
      <c r="CL155" s="355"/>
      <c r="CM155" s="354"/>
      <c r="CN155" s="355"/>
      <c r="CO155" s="354"/>
      <c r="CP155" s="355"/>
      <c r="CQ155" s="354"/>
      <c r="CR155" s="355"/>
      <c r="CS155" s="354"/>
      <c r="CT155" s="355"/>
      <c r="CU155" s="354"/>
      <c r="CV155" s="355"/>
      <c r="CW155" s="354"/>
      <c r="CX155" s="355"/>
      <c r="CY155" s="354"/>
      <c r="CZ155" s="355"/>
      <c r="DA155" s="354"/>
      <c r="DB155" s="355"/>
      <c r="DC155" s="354"/>
      <c r="DD155" s="355"/>
      <c r="DE155" s="354"/>
      <c r="DF155" s="355"/>
      <c r="DG155" s="354"/>
      <c r="DH155" s="355"/>
      <c r="DI155" s="354"/>
      <c r="DJ155" s="355"/>
      <c r="DK155" s="354"/>
      <c r="DL155" s="355"/>
      <c r="DM155" s="354"/>
      <c r="DN155" s="355"/>
      <c r="DO155" s="354"/>
      <c r="DP155" s="355"/>
      <c r="DQ155" s="354"/>
      <c r="DR155" s="355"/>
      <c r="DS155" s="354"/>
      <c r="DT155" s="355"/>
      <c r="DU155" s="354"/>
      <c r="DV155" s="355"/>
      <c r="DW155" s="354"/>
      <c r="DX155" s="355"/>
      <c r="DY155" s="354"/>
      <c r="DZ155" s="355"/>
      <c r="EA155" s="354"/>
      <c r="EB155" s="355"/>
      <c r="EC155" s="354"/>
      <c r="ED155" s="355"/>
      <c r="EE155" s="354"/>
      <c r="EF155" s="355"/>
      <c r="EG155" s="354"/>
      <c r="EH155" s="355"/>
      <c r="EI155" s="354"/>
      <c r="EJ155" s="355"/>
      <c r="EK155" s="354"/>
      <c r="EL155" s="355"/>
      <c r="EM155" s="354"/>
      <c r="EN155" s="355"/>
      <c r="EO155" s="354"/>
      <c r="EP155" s="355"/>
      <c r="EQ155" s="354"/>
      <c r="ER155" s="355"/>
      <c r="ES155" s="354"/>
      <c r="ET155" s="355"/>
      <c r="EU155" s="354"/>
      <c r="EV155" s="355"/>
      <c r="EW155" s="354"/>
      <c r="EX155" s="355"/>
      <c r="EY155" s="354"/>
      <c r="EZ155" s="355"/>
      <c r="FA155" s="354"/>
      <c r="FB155" s="355"/>
      <c r="FC155" s="354"/>
      <c r="FD155" s="355"/>
      <c r="FE155" s="354"/>
      <c r="FF155" s="355"/>
      <c r="FG155" s="354"/>
      <c r="FH155" s="355"/>
      <c r="FI155" s="354"/>
      <c r="FJ155" s="355"/>
      <c r="FK155" s="354"/>
      <c r="FL155" s="355"/>
      <c r="FM155" s="354"/>
      <c r="FN155" s="355"/>
      <c r="FO155" s="354"/>
      <c r="FP155" s="355"/>
      <c r="FQ155" s="354"/>
      <c r="FR155" s="355"/>
      <c r="FS155" s="354"/>
      <c r="FT155" s="355"/>
      <c r="FU155" s="354"/>
      <c r="FV155" s="355"/>
      <c r="FW155" s="354"/>
      <c r="FX155" s="355"/>
      <c r="FY155" s="354"/>
      <c r="FZ155" s="355"/>
      <c r="GA155" s="354"/>
      <c r="GB155" s="355"/>
      <c r="GC155" s="354"/>
      <c r="GD155" s="355"/>
      <c r="GE155" s="354"/>
      <c r="GF155" s="355"/>
      <c r="GG155" s="354"/>
      <c r="GH155" s="355"/>
      <c r="GI155" s="354"/>
      <c r="GJ155" s="355"/>
      <c r="GK155" s="354"/>
      <c r="GL155" s="355"/>
      <c r="GM155" s="354"/>
      <c r="GN155" s="355"/>
      <c r="GO155" s="354"/>
      <c r="GP155" s="355"/>
      <c r="GQ155" s="354"/>
      <c r="GR155" s="355"/>
      <c r="GS155" s="354"/>
      <c r="GT155" s="355"/>
      <c r="GU155" s="354"/>
      <c r="GV155" s="355"/>
      <c r="GW155" s="354"/>
      <c r="GX155" s="355"/>
    </row>
    <row r="156" spans="1:206" ht="24" thickTop="1" x14ac:dyDescent="0.5">
      <c r="A156" s="364"/>
      <c r="B156" s="365"/>
      <c r="C156" s="365"/>
      <c r="D156" s="366"/>
      <c r="E156" s="365"/>
      <c r="F156" s="366"/>
      <c r="G156" s="336"/>
      <c r="H156" s="336"/>
      <c r="I156" s="336"/>
      <c r="J156" s="336"/>
      <c r="K156" s="336"/>
      <c r="L156" s="336"/>
    </row>
    <row r="157" spans="1:206" ht="23.25" x14ac:dyDescent="0.5">
      <c r="A157" s="367" t="s">
        <v>409</v>
      </c>
      <c r="B157" s="368"/>
      <c r="C157" s="319"/>
      <c r="D157" s="369" t="s">
        <v>410</v>
      </c>
      <c r="E157" s="336"/>
      <c r="F157" s="337"/>
      <c r="G157" s="324"/>
      <c r="H157" s="336"/>
      <c r="I157" s="336"/>
      <c r="J157" s="369"/>
      <c r="K157" s="336"/>
      <c r="L157" s="336"/>
    </row>
    <row r="158" spans="1:206" ht="23.25" x14ac:dyDescent="0.5">
      <c r="A158" s="335" t="s">
        <v>500</v>
      </c>
      <c r="B158" s="336"/>
      <c r="C158" s="336"/>
      <c r="D158" s="335" t="s">
        <v>501</v>
      </c>
      <c r="E158" s="336"/>
      <c r="F158" s="337"/>
      <c r="G158" s="336"/>
      <c r="H158" s="336"/>
      <c r="I158" s="336"/>
      <c r="J158" s="336"/>
      <c r="K158" s="336"/>
      <c r="L158" s="336"/>
    </row>
    <row r="159" spans="1:206" ht="23.25" x14ac:dyDescent="0.5">
      <c r="A159" s="335" t="s">
        <v>502</v>
      </c>
      <c r="B159" s="336"/>
      <c r="C159" s="337"/>
      <c r="D159" s="335" t="s">
        <v>502</v>
      </c>
      <c r="E159" s="336"/>
      <c r="F159" s="337"/>
      <c r="G159" s="336"/>
      <c r="H159" s="336"/>
      <c r="I159" s="336"/>
      <c r="J159" s="336"/>
      <c r="K159" s="336"/>
      <c r="L159" s="336"/>
    </row>
    <row r="160" spans="1:206" ht="23.25" x14ac:dyDescent="0.5">
      <c r="A160" s="335" t="s">
        <v>411</v>
      </c>
      <c r="B160" s="336"/>
      <c r="C160" s="337"/>
      <c r="D160" s="335" t="s">
        <v>411</v>
      </c>
      <c r="E160" s="336"/>
      <c r="F160" s="337"/>
      <c r="G160" s="336"/>
      <c r="H160" s="336"/>
      <c r="I160" s="336"/>
      <c r="J160" s="336"/>
      <c r="K160" s="336"/>
      <c r="L160" s="336"/>
    </row>
    <row r="161" spans="1:12" ht="23.25" x14ac:dyDescent="0.5">
      <c r="A161" s="335" t="s">
        <v>768</v>
      </c>
      <c r="B161" s="336"/>
      <c r="C161" s="336"/>
      <c r="D161" s="335" t="s">
        <v>768</v>
      </c>
      <c r="E161" s="336"/>
      <c r="F161" s="337"/>
      <c r="G161" s="336"/>
      <c r="H161" s="336"/>
      <c r="I161" s="336"/>
      <c r="J161" s="336"/>
      <c r="K161" s="336"/>
      <c r="L161" s="336"/>
    </row>
    <row r="162" spans="1:12" ht="23.25" x14ac:dyDescent="0.5">
      <c r="A162" s="364"/>
      <c r="B162" s="365"/>
      <c r="C162" s="370"/>
      <c r="D162" s="365"/>
      <c r="E162" s="365"/>
      <c r="F162" s="366"/>
      <c r="G162" s="336"/>
      <c r="H162" s="336"/>
      <c r="I162" s="373"/>
      <c r="J162" s="336"/>
      <c r="K162" s="336"/>
      <c r="L162" s="336"/>
    </row>
    <row r="166" spans="1:12" ht="29.25" x14ac:dyDescent="0.6">
      <c r="A166" s="314" t="s">
        <v>398</v>
      </c>
      <c r="B166" s="315"/>
      <c r="C166" s="316"/>
      <c r="D166" s="317"/>
      <c r="E166" s="318" t="s">
        <v>745</v>
      </c>
      <c r="F166" s="319"/>
    </row>
    <row r="167" spans="1:12" ht="29.25" x14ac:dyDescent="0.6">
      <c r="A167" s="320" t="s">
        <v>400</v>
      </c>
      <c r="B167" s="321"/>
      <c r="C167" s="322"/>
      <c r="D167" s="323"/>
      <c r="E167" s="324" t="s">
        <v>746</v>
      </c>
      <c r="F167" s="325"/>
    </row>
    <row r="168" spans="1:12" ht="29.25" x14ac:dyDescent="0.6">
      <c r="A168" s="326"/>
      <c r="B168" s="327"/>
      <c r="C168" s="328"/>
      <c r="D168" s="329"/>
      <c r="E168" s="330" t="s">
        <v>13</v>
      </c>
      <c r="F168" s="331"/>
    </row>
    <row r="169" spans="1:12" ht="21" x14ac:dyDescent="0.45">
      <c r="A169" s="332"/>
      <c r="B169" s="317"/>
      <c r="C169" s="317"/>
      <c r="D169" s="333"/>
      <c r="E169" s="334" t="s">
        <v>402</v>
      </c>
      <c r="F169" s="333" t="s">
        <v>9</v>
      </c>
    </row>
    <row r="170" spans="1:12" ht="23.25" x14ac:dyDescent="0.5">
      <c r="A170" s="335" t="s">
        <v>769</v>
      </c>
      <c r="B170" s="171"/>
      <c r="C170" s="336"/>
      <c r="D170" s="337"/>
      <c r="E170" s="338">
        <v>6978371.96</v>
      </c>
      <c r="F170" s="337"/>
    </row>
    <row r="171" spans="1:12" ht="23.25" x14ac:dyDescent="0.5">
      <c r="A171" s="339" t="s">
        <v>403</v>
      </c>
      <c r="B171" s="171"/>
      <c r="C171" s="336"/>
      <c r="D171" s="337"/>
      <c r="E171" s="338">
        <v>0</v>
      </c>
      <c r="F171" s="337"/>
      <c r="H171">
        <v>6</v>
      </c>
    </row>
    <row r="172" spans="1:12" ht="23.25" x14ac:dyDescent="0.5">
      <c r="A172" s="340" t="s">
        <v>404</v>
      </c>
      <c r="B172" s="336"/>
      <c r="C172" s="336"/>
      <c r="D172" s="341"/>
      <c r="E172" s="336"/>
      <c r="F172" s="337"/>
    </row>
    <row r="173" spans="1:12" ht="23.25" x14ac:dyDescent="0.5">
      <c r="A173" s="610"/>
      <c r="B173" s="342"/>
      <c r="C173" s="342"/>
      <c r="D173" s="343"/>
      <c r="E173" s="336"/>
      <c r="F173" s="337"/>
    </row>
    <row r="174" spans="1:12" ht="23.25" x14ac:dyDescent="0.5">
      <c r="A174" s="344" t="s">
        <v>405</v>
      </c>
      <c r="B174" s="342" t="s">
        <v>406</v>
      </c>
      <c r="C174" s="342"/>
      <c r="D174" s="343" t="s">
        <v>402</v>
      </c>
      <c r="E174" s="336"/>
      <c r="F174" s="337"/>
    </row>
    <row r="175" spans="1:12" ht="23.25" x14ac:dyDescent="0.5">
      <c r="A175" s="345" t="s">
        <v>748</v>
      </c>
      <c r="B175" s="346">
        <v>534657</v>
      </c>
      <c r="C175" s="347"/>
      <c r="D175" s="348">
        <v>9292.34</v>
      </c>
      <c r="E175" s="630"/>
      <c r="F175" s="337"/>
    </row>
    <row r="176" spans="1:12" ht="23.25" x14ac:dyDescent="0.5">
      <c r="A176" s="349"/>
      <c r="B176" s="350"/>
      <c r="C176" s="351"/>
      <c r="D176" s="352"/>
      <c r="E176" s="336"/>
      <c r="F176" s="337"/>
    </row>
    <row r="177" spans="1:206" ht="23.25" x14ac:dyDescent="0.5">
      <c r="A177" s="345"/>
      <c r="B177" s="346"/>
      <c r="C177" s="342"/>
      <c r="D177" s="348"/>
      <c r="E177" s="353">
        <v>0</v>
      </c>
      <c r="F177" s="337"/>
    </row>
    <row r="178" spans="1:206" ht="23.25" x14ac:dyDescent="0.5">
      <c r="A178" s="345"/>
      <c r="B178" s="346"/>
      <c r="C178" s="342"/>
      <c r="D178" s="348"/>
      <c r="E178" s="353"/>
      <c r="F178" s="337"/>
    </row>
    <row r="179" spans="1:206" ht="24" thickBot="1" x14ac:dyDescent="0.55000000000000004">
      <c r="A179" s="345"/>
      <c r="B179" s="346"/>
      <c r="C179" s="356" t="s">
        <v>151</v>
      </c>
      <c r="D179" s="620">
        <f>SUM(D175:D178)</f>
        <v>9292.34</v>
      </c>
      <c r="E179" s="631">
        <f>+D179</f>
        <v>9292.34</v>
      </c>
      <c r="F179" s="337"/>
    </row>
    <row r="180" spans="1:206" ht="24" thickTop="1" x14ac:dyDescent="0.5">
      <c r="A180" s="357" t="s">
        <v>407</v>
      </c>
      <c r="B180" s="336"/>
      <c r="C180" s="336"/>
      <c r="D180" s="358"/>
      <c r="E180" s="354"/>
      <c r="F180" s="337"/>
    </row>
    <row r="181" spans="1:206" ht="23.25" x14ac:dyDescent="0.5">
      <c r="A181" s="357" t="s">
        <v>749</v>
      </c>
      <c r="B181" s="336"/>
      <c r="C181" s="336"/>
      <c r="D181" s="358"/>
      <c r="E181" s="632">
        <v>14375.57</v>
      </c>
      <c r="F181" s="337"/>
    </row>
    <row r="182" spans="1:206" ht="23.25" x14ac:dyDescent="0.5">
      <c r="A182" s="357" t="s">
        <v>750</v>
      </c>
      <c r="B182" s="336"/>
      <c r="C182" s="336"/>
      <c r="D182" s="358"/>
      <c r="E182" s="632">
        <v>5489.74</v>
      </c>
      <c r="F182" s="337"/>
    </row>
    <row r="183" spans="1:206" ht="23.25" x14ac:dyDescent="0.5">
      <c r="A183" s="357"/>
      <c r="B183" s="336"/>
      <c r="C183" s="336"/>
      <c r="D183" s="358"/>
      <c r="E183" s="633"/>
      <c r="F183" s="337"/>
    </row>
    <row r="184" spans="1:206" ht="23.25" x14ac:dyDescent="0.5">
      <c r="A184" s="357" t="s">
        <v>752</v>
      </c>
      <c r="B184" s="336"/>
      <c r="C184" s="336"/>
      <c r="D184" s="358"/>
      <c r="E184" s="633">
        <v>0.01</v>
      </c>
      <c r="F184" s="337"/>
    </row>
    <row r="185" spans="1:206" ht="23.25" x14ac:dyDescent="0.5">
      <c r="A185" s="359"/>
      <c r="B185" s="336"/>
      <c r="C185" s="336"/>
      <c r="D185" s="360"/>
      <c r="E185" s="335"/>
      <c r="F185" s="337"/>
    </row>
    <row r="186" spans="1:206" ht="23.25" x14ac:dyDescent="0.5">
      <c r="A186" s="340" t="s">
        <v>408</v>
      </c>
      <c r="B186" s="336"/>
      <c r="C186" s="336"/>
      <c r="D186" s="337"/>
      <c r="E186" s="633"/>
      <c r="F186" s="337"/>
    </row>
    <row r="187" spans="1:206" ht="23.25" x14ac:dyDescent="0.5">
      <c r="A187" s="893"/>
      <c r="B187" s="894"/>
      <c r="C187" s="894"/>
      <c r="D187" s="895"/>
      <c r="E187" s="361"/>
      <c r="F187" s="634"/>
    </row>
    <row r="188" spans="1:206" ht="24" thickBot="1" x14ac:dyDescent="0.55000000000000004">
      <c r="A188" s="359" t="s">
        <v>770</v>
      </c>
      <c r="B188" s="324"/>
      <c r="C188" s="371"/>
      <c r="D188" s="355"/>
      <c r="E188" s="362">
        <f>+E170-E179-E181-E182-E183+E184</f>
        <v>6949214.3199999994</v>
      </c>
      <c r="F188" s="363"/>
      <c r="G188" s="324"/>
      <c r="H188" s="324"/>
      <c r="I188" s="371"/>
      <c r="J188" s="355"/>
      <c r="K188" s="372"/>
      <c r="L188" s="355"/>
      <c r="AF188" s="355"/>
      <c r="AG188" s="354"/>
      <c r="AH188" s="355"/>
      <c r="AI188" s="354"/>
      <c r="AJ188" s="355"/>
      <c r="AK188" s="354"/>
      <c r="AL188" s="355"/>
      <c r="AM188" s="354"/>
      <c r="AN188" s="355"/>
      <c r="AO188" s="354"/>
      <c r="AP188" s="355"/>
      <c r="AQ188" s="354"/>
      <c r="AR188" s="355"/>
      <c r="AS188" s="354"/>
      <c r="AT188" s="355"/>
      <c r="AU188" s="354"/>
      <c r="AV188" s="355"/>
      <c r="AW188" s="354"/>
      <c r="AX188" s="355"/>
      <c r="AY188" s="354"/>
      <c r="AZ188" s="355"/>
      <c r="BA188" s="354"/>
      <c r="BB188" s="355"/>
      <c r="BC188" s="354"/>
      <c r="BD188" s="355"/>
      <c r="BE188" s="354"/>
      <c r="BF188" s="355"/>
      <c r="BG188" s="354"/>
      <c r="BH188" s="355"/>
      <c r="BI188" s="354"/>
      <c r="BJ188" s="355"/>
      <c r="BK188" s="354"/>
      <c r="BL188" s="355"/>
      <c r="BM188" s="354"/>
      <c r="BN188" s="355"/>
      <c r="BO188" s="354"/>
      <c r="BP188" s="355"/>
      <c r="BQ188" s="354"/>
      <c r="BR188" s="355"/>
      <c r="BS188" s="354"/>
      <c r="BT188" s="355"/>
      <c r="BU188" s="354"/>
      <c r="BV188" s="355"/>
      <c r="BW188" s="354"/>
      <c r="BX188" s="355"/>
      <c r="BY188" s="354"/>
      <c r="BZ188" s="355"/>
      <c r="CA188" s="354"/>
      <c r="CB188" s="355"/>
      <c r="CC188" s="354"/>
      <c r="CD188" s="355"/>
      <c r="CE188" s="354"/>
      <c r="CF188" s="355"/>
      <c r="CG188" s="354"/>
      <c r="CH188" s="355"/>
      <c r="CI188" s="354"/>
      <c r="CJ188" s="355"/>
      <c r="CK188" s="354"/>
      <c r="CL188" s="355"/>
      <c r="CM188" s="354"/>
      <c r="CN188" s="355"/>
      <c r="CO188" s="354"/>
      <c r="CP188" s="355"/>
      <c r="CQ188" s="354"/>
      <c r="CR188" s="355"/>
      <c r="CS188" s="354"/>
      <c r="CT188" s="355"/>
      <c r="CU188" s="354"/>
      <c r="CV188" s="355"/>
      <c r="CW188" s="354"/>
      <c r="CX188" s="355"/>
      <c r="CY188" s="354"/>
      <c r="CZ188" s="355"/>
      <c r="DA188" s="354"/>
      <c r="DB188" s="355"/>
      <c r="DC188" s="354"/>
      <c r="DD188" s="355"/>
      <c r="DE188" s="354"/>
      <c r="DF188" s="355"/>
      <c r="DG188" s="354"/>
      <c r="DH188" s="355"/>
      <c r="DI188" s="354"/>
      <c r="DJ188" s="355"/>
      <c r="DK188" s="354"/>
      <c r="DL188" s="355"/>
      <c r="DM188" s="354"/>
      <c r="DN188" s="355"/>
      <c r="DO188" s="354"/>
      <c r="DP188" s="355"/>
      <c r="DQ188" s="354"/>
      <c r="DR188" s="355"/>
      <c r="DS188" s="354"/>
      <c r="DT188" s="355"/>
      <c r="DU188" s="354"/>
      <c r="DV188" s="355"/>
      <c r="DW188" s="354"/>
      <c r="DX188" s="355"/>
      <c r="DY188" s="354"/>
      <c r="DZ188" s="355"/>
      <c r="EA188" s="354"/>
      <c r="EB188" s="355"/>
      <c r="EC188" s="354"/>
      <c r="ED188" s="355"/>
      <c r="EE188" s="354"/>
      <c r="EF188" s="355"/>
      <c r="EG188" s="354"/>
      <c r="EH188" s="355"/>
      <c r="EI188" s="354"/>
      <c r="EJ188" s="355"/>
      <c r="EK188" s="354"/>
      <c r="EL188" s="355"/>
      <c r="EM188" s="354"/>
      <c r="EN188" s="355"/>
      <c r="EO188" s="354"/>
      <c r="EP188" s="355"/>
      <c r="EQ188" s="354"/>
      <c r="ER188" s="355"/>
      <c r="ES188" s="354"/>
      <c r="ET188" s="355"/>
      <c r="EU188" s="354"/>
      <c r="EV188" s="355"/>
      <c r="EW188" s="354"/>
      <c r="EX188" s="355"/>
      <c r="EY188" s="354"/>
      <c r="EZ188" s="355"/>
      <c r="FA188" s="354"/>
      <c r="FB188" s="355"/>
      <c r="FC188" s="354"/>
      <c r="FD188" s="355"/>
      <c r="FE188" s="354"/>
      <c r="FF188" s="355"/>
      <c r="FG188" s="354"/>
      <c r="FH188" s="355"/>
      <c r="FI188" s="354"/>
      <c r="FJ188" s="355"/>
      <c r="FK188" s="354"/>
      <c r="FL188" s="355"/>
      <c r="FM188" s="354"/>
      <c r="FN188" s="355"/>
      <c r="FO188" s="354"/>
      <c r="FP188" s="355"/>
      <c r="FQ188" s="354"/>
      <c r="FR188" s="355"/>
      <c r="FS188" s="354"/>
      <c r="FT188" s="355"/>
      <c r="FU188" s="354"/>
      <c r="FV188" s="355"/>
      <c r="FW188" s="354"/>
      <c r="FX188" s="355"/>
      <c r="FY188" s="354"/>
      <c r="FZ188" s="355"/>
      <c r="GA188" s="354"/>
      <c r="GB188" s="355"/>
      <c r="GC188" s="354"/>
      <c r="GD188" s="355"/>
      <c r="GE188" s="354"/>
      <c r="GF188" s="355"/>
      <c r="GG188" s="354"/>
      <c r="GH188" s="355"/>
      <c r="GI188" s="354"/>
      <c r="GJ188" s="355"/>
      <c r="GK188" s="354"/>
      <c r="GL188" s="355"/>
      <c r="GM188" s="354"/>
      <c r="GN188" s="355"/>
      <c r="GO188" s="354"/>
      <c r="GP188" s="355"/>
      <c r="GQ188" s="354"/>
      <c r="GR188" s="355"/>
      <c r="GS188" s="354"/>
      <c r="GT188" s="355"/>
      <c r="GU188" s="354"/>
      <c r="GV188" s="355"/>
      <c r="GW188" s="354"/>
      <c r="GX188" s="355"/>
    </row>
    <row r="189" spans="1:206" ht="24" thickTop="1" x14ac:dyDescent="0.5">
      <c r="A189" s="364"/>
      <c r="B189" s="365"/>
      <c r="C189" s="365"/>
      <c r="D189" s="366"/>
      <c r="E189" s="365"/>
      <c r="F189" s="366"/>
      <c r="G189" s="336"/>
      <c r="H189" s="336"/>
      <c r="I189" s="336"/>
      <c r="J189" s="336"/>
      <c r="K189" s="336"/>
      <c r="L189" s="336"/>
    </row>
    <row r="190" spans="1:206" ht="23.25" x14ac:dyDescent="0.5">
      <c r="A190" s="367" t="s">
        <v>409</v>
      </c>
      <c r="B190" s="368"/>
      <c r="C190" s="319"/>
      <c r="D190" s="369" t="s">
        <v>410</v>
      </c>
      <c r="E190" s="336"/>
      <c r="F190" s="337"/>
      <c r="G190" s="324"/>
      <c r="H190" s="336"/>
      <c r="I190" s="336"/>
      <c r="J190" s="369"/>
      <c r="K190" s="336"/>
      <c r="L190" s="336"/>
    </row>
    <row r="191" spans="1:206" ht="23.25" x14ac:dyDescent="0.5">
      <c r="A191" s="335" t="s">
        <v>500</v>
      </c>
      <c r="B191" s="336"/>
      <c r="C191" s="336"/>
      <c r="D191" s="335" t="s">
        <v>501</v>
      </c>
      <c r="E191" s="336"/>
      <c r="F191" s="337"/>
      <c r="G191" s="336"/>
      <c r="H191" s="336"/>
      <c r="I191" s="336"/>
      <c r="J191" s="336"/>
      <c r="K191" s="336"/>
      <c r="L191" s="336"/>
    </row>
    <row r="192" spans="1:206" ht="23.25" x14ac:dyDescent="0.5">
      <c r="A192" s="335" t="s">
        <v>502</v>
      </c>
      <c r="B192" s="336"/>
      <c r="C192" s="337"/>
      <c r="D192" s="335" t="s">
        <v>502</v>
      </c>
      <c r="E192" s="336"/>
      <c r="F192" s="337"/>
      <c r="G192" s="336"/>
      <c r="H192" s="336"/>
      <c r="I192" s="336"/>
      <c r="J192" s="336"/>
      <c r="K192" s="336"/>
      <c r="L192" s="336"/>
    </row>
    <row r="193" spans="1:12" ht="23.25" x14ac:dyDescent="0.5">
      <c r="A193" s="335" t="s">
        <v>411</v>
      </c>
      <c r="B193" s="336"/>
      <c r="C193" s="337"/>
      <c r="D193" s="335" t="s">
        <v>411</v>
      </c>
      <c r="E193" s="336"/>
      <c r="F193" s="337"/>
      <c r="G193" s="336"/>
      <c r="H193" s="336"/>
      <c r="I193" s="336"/>
      <c r="J193" s="336"/>
      <c r="K193" s="336"/>
      <c r="L193" s="336"/>
    </row>
    <row r="194" spans="1:12" ht="23.25" x14ac:dyDescent="0.5">
      <c r="A194" s="335" t="s">
        <v>771</v>
      </c>
      <c r="B194" s="336"/>
      <c r="C194" s="336"/>
      <c r="D194" s="335" t="s">
        <v>772</v>
      </c>
      <c r="E194" s="336"/>
      <c r="F194" s="337"/>
      <c r="G194" s="336"/>
      <c r="H194" s="336"/>
      <c r="I194" s="336"/>
      <c r="J194" s="336"/>
      <c r="K194" s="336"/>
      <c r="L194" s="336"/>
    </row>
    <row r="195" spans="1:12" ht="23.25" x14ac:dyDescent="0.5">
      <c r="A195" s="364"/>
      <c r="B195" s="365"/>
      <c r="C195" s="370"/>
      <c r="D195" s="365"/>
      <c r="E195" s="365"/>
      <c r="F195" s="366"/>
      <c r="G195" s="336"/>
      <c r="H195" s="336"/>
      <c r="I195" s="373"/>
      <c r="J195" s="336"/>
      <c r="K195" s="336"/>
      <c r="L195" s="336"/>
    </row>
    <row r="199" spans="1:12" ht="29.25" x14ac:dyDescent="0.6">
      <c r="A199" s="314" t="s">
        <v>398</v>
      </c>
      <c r="B199" s="315"/>
      <c r="C199" s="316"/>
      <c r="D199" s="317"/>
      <c r="E199" s="318" t="s">
        <v>745</v>
      </c>
      <c r="F199" s="319"/>
    </row>
    <row r="200" spans="1:12" ht="29.25" x14ac:dyDescent="0.6">
      <c r="A200" s="320" t="s">
        <v>400</v>
      </c>
      <c r="B200" s="321"/>
      <c r="C200" s="322"/>
      <c r="D200" s="323"/>
      <c r="E200" s="324" t="s">
        <v>746</v>
      </c>
      <c r="F200" s="325"/>
    </row>
    <row r="201" spans="1:12" ht="29.25" x14ac:dyDescent="0.6">
      <c r="A201" s="326"/>
      <c r="B201" s="327"/>
      <c r="C201" s="328"/>
      <c r="D201" s="329"/>
      <c r="E201" s="330" t="s">
        <v>13</v>
      </c>
      <c r="F201" s="331"/>
    </row>
    <row r="202" spans="1:12" ht="21" x14ac:dyDescent="0.45">
      <c r="A202" s="332"/>
      <c r="B202" s="317"/>
      <c r="C202" s="317"/>
      <c r="D202" s="333"/>
      <c r="E202" s="334" t="s">
        <v>402</v>
      </c>
      <c r="F202" s="333" t="s">
        <v>9</v>
      </c>
    </row>
    <row r="203" spans="1:12" ht="23.25" x14ac:dyDescent="0.5">
      <c r="A203" s="335" t="s">
        <v>773</v>
      </c>
      <c r="B203" s="171"/>
      <c r="C203" s="336"/>
      <c r="D203" s="337"/>
      <c r="E203" s="338">
        <v>6978371.96</v>
      </c>
      <c r="F203" s="337"/>
    </row>
    <row r="204" spans="1:12" ht="23.25" x14ac:dyDescent="0.5">
      <c r="A204" s="339" t="s">
        <v>403</v>
      </c>
      <c r="B204" s="171"/>
      <c r="C204" s="336"/>
      <c r="D204" s="337"/>
      <c r="E204" s="338">
        <v>0</v>
      </c>
      <c r="F204" s="337"/>
      <c r="H204">
        <v>7</v>
      </c>
    </row>
    <row r="205" spans="1:12" ht="23.25" x14ac:dyDescent="0.5">
      <c r="A205" s="340" t="s">
        <v>404</v>
      </c>
      <c r="B205" s="336"/>
      <c r="C205" s="336"/>
      <c r="D205" s="341"/>
      <c r="E205" s="336"/>
      <c r="F205" s="337"/>
    </row>
    <row r="206" spans="1:12" ht="23.25" x14ac:dyDescent="0.5">
      <c r="A206" s="610"/>
      <c r="B206" s="342"/>
      <c r="C206" s="342"/>
      <c r="D206" s="343"/>
      <c r="E206" s="336"/>
      <c r="F206" s="337"/>
    </row>
    <row r="207" spans="1:12" ht="23.25" x14ac:dyDescent="0.5">
      <c r="A207" s="344" t="s">
        <v>405</v>
      </c>
      <c r="B207" s="342" t="s">
        <v>406</v>
      </c>
      <c r="C207" s="342"/>
      <c r="D207" s="343" t="s">
        <v>402</v>
      </c>
      <c r="E207" s="336"/>
      <c r="F207" s="337"/>
    </row>
    <row r="208" spans="1:12" ht="23.25" x14ac:dyDescent="0.5">
      <c r="A208" s="345" t="s">
        <v>748</v>
      </c>
      <c r="B208" s="346">
        <v>534657</v>
      </c>
      <c r="C208" s="347"/>
      <c r="D208" s="348">
        <v>9292.34</v>
      </c>
      <c r="E208" s="630"/>
      <c r="F208" s="337"/>
    </row>
    <row r="209" spans="1:206" ht="23.25" x14ac:dyDescent="0.5">
      <c r="A209" s="349"/>
      <c r="B209" s="350"/>
      <c r="C209" s="351"/>
      <c r="D209" s="352"/>
      <c r="E209" s="336"/>
      <c r="F209" s="337"/>
    </row>
    <row r="210" spans="1:206" ht="23.25" x14ac:dyDescent="0.5">
      <c r="A210" s="345"/>
      <c r="B210" s="346"/>
      <c r="C210" s="342"/>
      <c r="D210" s="348"/>
      <c r="E210" s="353">
        <v>0</v>
      </c>
      <c r="F210" s="337"/>
    </row>
    <row r="211" spans="1:206" ht="23.25" x14ac:dyDescent="0.5">
      <c r="A211" s="345"/>
      <c r="B211" s="346"/>
      <c r="C211" s="342"/>
      <c r="D211" s="348"/>
      <c r="E211" s="353"/>
      <c r="F211" s="337"/>
    </row>
    <row r="212" spans="1:206" ht="24" thickBot="1" x14ac:dyDescent="0.55000000000000004">
      <c r="A212" s="345"/>
      <c r="B212" s="346"/>
      <c r="C212" s="356" t="s">
        <v>151</v>
      </c>
      <c r="D212" s="620">
        <f>SUM(D208:D211)</f>
        <v>9292.34</v>
      </c>
      <c r="E212" s="631">
        <f>+D212</f>
        <v>9292.34</v>
      </c>
      <c r="F212" s="337"/>
    </row>
    <row r="213" spans="1:206" ht="24" thickTop="1" x14ac:dyDescent="0.5">
      <c r="A213" s="357" t="s">
        <v>407</v>
      </c>
      <c r="B213" s="336"/>
      <c r="C213" s="336"/>
      <c r="D213" s="358"/>
      <c r="E213" s="354"/>
      <c r="F213" s="337"/>
    </row>
    <row r="214" spans="1:206" ht="23.25" x14ac:dyDescent="0.5">
      <c r="A214" s="357" t="s">
        <v>749</v>
      </c>
      <c r="B214" s="336"/>
      <c r="C214" s="336"/>
      <c r="D214" s="358"/>
      <c r="E214" s="632">
        <v>14375.57</v>
      </c>
      <c r="F214" s="337"/>
    </row>
    <row r="215" spans="1:206" ht="23.25" x14ac:dyDescent="0.5">
      <c r="A215" s="357" t="s">
        <v>750</v>
      </c>
      <c r="B215" s="336"/>
      <c r="C215" s="336"/>
      <c r="D215" s="358"/>
      <c r="E215" s="632">
        <v>5489.74</v>
      </c>
      <c r="F215" s="337"/>
    </row>
    <row r="216" spans="1:206" ht="23.25" x14ac:dyDescent="0.5">
      <c r="A216" s="357"/>
      <c r="B216" s="336"/>
      <c r="C216" s="336"/>
      <c r="D216" s="358"/>
      <c r="E216" s="633"/>
      <c r="F216" s="337"/>
    </row>
    <row r="217" spans="1:206" ht="23.25" x14ac:dyDescent="0.5">
      <c r="A217" s="357" t="s">
        <v>752</v>
      </c>
      <c r="B217" s="336"/>
      <c r="C217" s="336"/>
      <c r="D217" s="358"/>
      <c r="E217" s="633">
        <v>0.01</v>
      </c>
      <c r="F217" s="337"/>
    </row>
    <row r="218" spans="1:206" ht="23.25" x14ac:dyDescent="0.5">
      <c r="A218" s="359"/>
      <c r="B218" s="336"/>
      <c r="C218" s="336"/>
      <c r="D218" s="360"/>
      <c r="E218" s="335"/>
      <c r="F218" s="337"/>
    </row>
    <row r="219" spans="1:206" ht="23.25" x14ac:dyDescent="0.5">
      <c r="A219" s="340" t="s">
        <v>408</v>
      </c>
      <c r="B219" s="336"/>
      <c r="C219" s="336"/>
      <c r="D219" s="337"/>
      <c r="E219" s="633"/>
      <c r="F219" s="337"/>
    </row>
    <row r="220" spans="1:206" ht="23.25" x14ac:dyDescent="0.5">
      <c r="A220" s="893"/>
      <c r="B220" s="894"/>
      <c r="C220" s="894"/>
      <c r="D220" s="895"/>
      <c r="E220" s="361"/>
      <c r="F220" s="634"/>
    </row>
    <row r="221" spans="1:206" ht="24" thickBot="1" x14ac:dyDescent="0.55000000000000004">
      <c r="A221" s="359" t="s">
        <v>774</v>
      </c>
      <c r="B221" s="324"/>
      <c r="C221" s="371"/>
      <c r="D221" s="355"/>
      <c r="E221" s="362">
        <f>+E203-E212-E214-E215-E216+E217</f>
        <v>6949214.3199999994</v>
      </c>
      <c r="F221" s="363"/>
      <c r="G221" s="324"/>
      <c r="H221" s="324"/>
      <c r="I221" s="371"/>
      <c r="J221" s="355"/>
      <c r="K221" s="372"/>
      <c r="L221" s="355"/>
      <c r="AF221" s="355"/>
      <c r="AG221" s="354"/>
      <c r="AH221" s="355"/>
      <c r="AI221" s="354"/>
      <c r="AJ221" s="355"/>
      <c r="AK221" s="354"/>
      <c r="AL221" s="355"/>
      <c r="AM221" s="354"/>
      <c r="AN221" s="355"/>
      <c r="AO221" s="354"/>
      <c r="AP221" s="355"/>
      <c r="AQ221" s="354"/>
      <c r="AR221" s="355"/>
      <c r="AS221" s="354"/>
      <c r="AT221" s="355"/>
      <c r="AU221" s="354"/>
      <c r="AV221" s="355"/>
      <c r="AW221" s="354"/>
      <c r="AX221" s="355"/>
      <c r="AY221" s="354"/>
      <c r="AZ221" s="355"/>
      <c r="BA221" s="354"/>
      <c r="BB221" s="355"/>
      <c r="BC221" s="354"/>
      <c r="BD221" s="355"/>
      <c r="BE221" s="354"/>
      <c r="BF221" s="355"/>
      <c r="BG221" s="354"/>
      <c r="BH221" s="355"/>
      <c r="BI221" s="354"/>
      <c r="BJ221" s="355"/>
      <c r="BK221" s="354"/>
      <c r="BL221" s="355"/>
      <c r="BM221" s="354"/>
      <c r="BN221" s="355"/>
      <c r="BO221" s="354"/>
      <c r="BP221" s="355"/>
      <c r="BQ221" s="354"/>
      <c r="BR221" s="355"/>
      <c r="BS221" s="354"/>
      <c r="BT221" s="355"/>
      <c r="BU221" s="354"/>
      <c r="BV221" s="355"/>
      <c r="BW221" s="354"/>
      <c r="BX221" s="355"/>
      <c r="BY221" s="354"/>
      <c r="BZ221" s="355"/>
      <c r="CA221" s="354"/>
      <c r="CB221" s="355"/>
      <c r="CC221" s="354"/>
      <c r="CD221" s="355"/>
      <c r="CE221" s="354"/>
      <c r="CF221" s="355"/>
      <c r="CG221" s="354"/>
      <c r="CH221" s="355"/>
      <c r="CI221" s="354"/>
      <c r="CJ221" s="355"/>
      <c r="CK221" s="354"/>
      <c r="CL221" s="355"/>
      <c r="CM221" s="354"/>
      <c r="CN221" s="355"/>
      <c r="CO221" s="354"/>
      <c r="CP221" s="355"/>
      <c r="CQ221" s="354"/>
      <c r="CR221" s="355"/>
      <c r="CS221" s="354"/>
      <c r="CT221" s="355"/>
      <c r="CU221" s="354"/>
      <c r="CV221" s="355"/>
      <c r="CW221" s="354"/>
      <c r="CX221" s="355"/>
      <c r="CY221" s="354"/>
      <c r="CZ221" s="355"/>
      <c r="DA221" s="354"/>
      <c r="DB221" s="355"/>
      <c r="DC221" s="354"/>
      <c r="DD221" s="355"/>
      <c r="DE221" s="354"/>
      <c r="DF221" s="355"/>
      <c r="DG221" s="354"/>
      <c r="DH221" s="355"/>
      <c r="DI221" s="354"/>
      <c r="DJ221" s="355"/>
      <c r="DK221" s="354"/>
      <c r="DL221" s="355"/>
      <c r="DM221" s="354"/>
      <c r="DN221" s="355"/>
      <c r="DO221" s="354"/>
      <c r="DP221" s="355"/>
      <c r="DQ221" s="354"/>
      <c r="DR221" s="355"/>
      <c r="DS221" s="354"/>
      <c r="DT221" s="355"/>
      <c r="DU221" s="354"/>
      <c r="DV221" s="355"/>
      <c r="DW221" s="354"/>
      <c r="DX221" s="355"/>
      <c r="DY221" s="354"/>
      <c r="DZ221" s="355"/>
      <c r="EA221" s="354"/>
      <c r="EB221" s="355"/>
      <c r="EC221" s="354"/>
      <c r="ED221" s="355"/>
      <c r="EE221" s="354"/>
      <c r="EF221" s="355"/>
      <c r="EG221" s="354"/>
      <c r="EH221" s="355"/>
      <c r="EI221" s="354"/>
      <c r="EJ221" s="355"/>
      <c r="EK221" s="354"/>
      <c r="EL221" s="355"/>
      <c r="EM221" s="354"/>
      <c r="EN221" s="355"/>
      <c r="EO221" s="354"/>
      <c r="EP221" s="355"/>
      <c r="EQ221" s="354"/>
      <c r="ER221" s="355"/>
      <c r="ES221" s="354"/>
      <c r="ET221" s="355"/>
      <c r="EU221" s="354"/>
      <c r="EV221" s="355"/>
      <c r="EW221" s="354"/>
      <c r="EX221" s="355"/>
      <c r="EY221" s="354"/>
      <c r="EZ221" s="355"/>
      <c r="FA221" s="354"/>
      <c r="FB221" s="355"/>
      <c r="FC221" s="354"/>
      <c r="FD221" s="355"/>
      <c r="FE221" s="354"/>
      <c r="FF221" s="355"/>
      <c r="FG221" s="354"/>
      <c r="FH221" s="355"/>
      <c r="FI221" s="354"/>
      <c r="FJ221" s="355"/>
      <c r="FK221" s="354"/>
      <c r="FL221" s="355"/>
      <c r="FM221" s="354"/>
      <c r="FN221" s="355"/>
      <c r="FO221" s="354"/>
      <c r="FP221" s="355"/>
      <c r="FQ221" s="354"/>
      <c r="FR221" s="355"/>
      <c r="FS221" s="354"/>
      <c r="FT221" s="355"/>
      <c r="FU221" s="354"/>
      <c r="FV221" s="355"/>
      <c r="FW221" s="354"/>
      <c r="FX221" s="355"/>
      <c r="FY221" s="354"/>
      <c r="FZ221" s="355"/>
      <c r="GA221" s="354"/>
      <c r="GB221" s="355"/>
      <c r="GC221" s="354"/>
      <c r="GD221" s="355"/>
      <c r="GE221" s="354"/>
      <c r="GF221" s="355"/>
      <c r="GG221" s="354"/>
      <c r="GH221" s="355"/>
      <c r="GI221" s="354"/>
      <c r="GJ221" s="355"/>
      <c r="GK221" s="354"/>
      <c r="GL221" s="355"/>
      <c r="GM221" s="354"/>
      <c r="GN221" s="355"/>
      <c r="GO221" s="354"/>
      <c r="GP221" s="355"/>
      <c r="GQ221" s="354"/>
      <c r="GR221" s="355"/>
      <c r="GS221" s="354"/>
      <c r="GT221" s="355"/>
      <c r="GU221" s="354"/>
      <c r="GV221" s="355"/>
      <c r="GW221" s="354"/>
      <c r="GX221" s="355"/>
    </row>
    <row r="222" spans="1:206" ht="24" thickTop="1" x14ac:dyDescent="0.5">
      <c r="A222" s="364"/>
      <c r="B222" s="365"/>
      <c r="C222" s="365"/>
      <c r="D222" s="366"/>
      <c r="E222" s="365"/>
      <c r="F222" s="366"/>
      <c r="G222" s="336"/>
      <c r="H222" s="336"/>
      <c r="I222" s="336"/>
      <c r="J222" s="336"/>
      <c r="K222" s="336"/>
      <c r="L222" s="336"/>
    </row>
    <row r="223" spans="1:206" ht="23.25" x14ac:dyDescent="0.5">
      <c r="A223" s="367" t="s">
        <v>409</v>
      </c>
      <c r="B223" s="368"/>
      <c r="C223" s="319"/>
      <c r="D223" s="369" t="s">
        <v>410</v>
      </c>
      <c r="E223" s="336"/>
      <c r="F223" s="337"/>
      <c r="G223" s="324"/>
      <c r="H223" s="336"/>
      <c r="I223" s="336"/>
      <c r="J223" s="369"/>
      <c r="K223" s="336"/>
      <c r="L223" s="336"/>
    </row>
    <row r="224" spans="1:206" ht="23.25" x14ac:dyDescent="0.5">
      <c r="A224" s="335" t="s">
        <v>500</v>
      </c>
      <c r="B224" s="336"/>
      <c r="C224" s="336"/>
      <c r="D224" s="335" t="s">
        <v>501</v>
      </c>
      <c r="E224" s="336"/>
      <c r="F224" s="337"/>
      <c r="G224" s="336"/>
      <c r="H224" s="336"/>
      <c r="I224" s="336"/>
      <c r="J224" s="336"/>
      <c r="K224" s="336"/>
      <c r="L224" s="336"/>
    </row>
    <row r="225" spans="1:12" ht="23.25" x14ac:dyDescent="0.5">
      <c r="A225" s="335" t="s">
        <v>502</v>
      </c>
      <c r="B225" s="336"/>
      <c r="C225" s="337"/>
      <c r="D225" s="335" t="s">
        <v>502</v>
      </c>
      <c r="E225" s="336"/>
      <c r="F225" s="337"/>
      <c r="G225" s="336"/>
      <c r="H225" s="336"/>
      <c r="I225" s="336"/>
      <c r="J225" s="336"/>
      <c r="K225" s="336"/>
      <c r="L225" s="336"/>
    </row>
    <row r="226" spans="1:12" ht="23.25" x14ac:dyDescent="0.5">
      <c r="A226" s="335" t="s">
        <v>411</v>
      </c>
      <c r="B226" s="336"/>
      <c r="C226" s="337"/>
      <c r="D226" s="335" t="s">
        <v>411</v>
      </c>
      <c r="E226" s="336"/>
      <c r="F226" s="337"/>
      <c r="G226" s="336"/>
      <c r="H226" s="336"/>
      <c r="I226" s="336"/>
      <c r="J226" s="336"/>
      <c r="K226" s="336"/>
      <c r="L226" s="336"/>
    </row>
    <row r="227" spans="1:12" ht="23.25" x14ac:dyDescent="0.5">
      <c r="A227" s="335" t="s">
        <v>775</v>
      </c>
      <c r="B227" s="336"/>
      <c r="C227" s="336"/>
      <c r="D227" s="335" t="s">
        <v>775</v>
      </c>
      <c r="E227" s="336"/>
      <c r="F227" s="337"/>
      <c r="G227" s="336"/>
      <c r="H227" s="336"/>
      <c r="I227" s="336"/>
      <c r="J227" s="336"/>
      <c r="K227" s="336"/>
      <c r="L227" s="336"/>
    </row>
    <row r="228" spans="1:12" ht="23.25" x14ac:dyDescent="0.5">
      <c r="A228" s="364"/>
      <c r="B228" s="365"/>
      <c r="C228" s="370"/>
      <c r="D228" s="365"/>
      <c r="E228" s="365"/>
      <c r="F228" s="366"/>
      <c r="G228" s="336"/>
      <c r="H228" s="336"/>
      <c r="I228" s="373"/>
      <c r="J228" s="336"/>
      <c r="K228" s="336"/>
      <c r="L228" s="336"/>
    </row>
    <row r="232" spans="1:12" ht="29.25" x14ac:dyDescent="0.6">
      <c r="A232" s="314" t="s">
        <v>398</v>
      </c>
      <c r="B232" s="315"/>
      <c r="C232" s="316"/>
      <c r="D232" s="317"/>
      <c r="E232" s="318" t="s">
        <v>745</v>
      </c>
      <c r="F232" s="319"/>
    </row>
    <row r="233" spans="1:12" ht="29.25" x14ac:dyDescent="0.6">
      <c r="A233" s="320" t="s">
        <v>400</v>
      </c>
      <c r="B233" s="321"/>
      <c r="C233" s="322"/>
      <c r="D233" s="323"/>
      <c r="E233" s="324" t="s">
        <v>746</v>
      </c>
      <c r="F233" s="325"/>
    </row>
    <row r="234" spans="1:12" ht="29.25" x14ac:dyDescent="0.6">
      <c r="A234" s="326"/>
      <c r="B234" s="327"/>
      <c r="C234" s="328"/>
      <c r="D234" s="329"/>
      <c r="E234" s="330" t="s">
        <v>13</v>
      </c>
      <c r="F234" s="331"/>
    </row>
    <row r="235" spans="1:12" ht="21" x14ac:dyDescent="0.45">
      <c r="A235" s="332"/>
      <c r="B235" s="317"/>
      <c r="C235" s="317"/>
      <c r="D235" s="333"/>
      <c r="E235" s="334" t="s">
        <v>402</v>
      </c>
      <c r="F235" s="333" t="s">
        <v>9</v>
      </c>
    </row>
    <row r="236" spans="1:12" ht="23.25" x14ac:dyDescent="0.5">
      <c r="A236" s="335" t="s">
        <v>709</v>
      </c>
      <c r="B236" s="171"/>
      <c r="C236" s="336"/>
      <c r="D236" s="337"/>
      <c r="E236" s="338">
        <v>8348592.8399999999</v>
      </c>
      <c r="F236" s="337"/>
    </row>
    <row r="237" spans="1:12" ht="23.25" x14ac:dyDescent="0.5">
      <c r="A237" s="339" t="s">
        <v>403</v>
      </c>
      <c r="B237" s="171"/>
      <c r="C237" s="336"/>
      <c r="D237" s="337"/>
      <c r="E237" s="338"/>
      <c r="F237" s="337"/>
      <c r="H237">
        <v>8</v>
      </c>
    </row>
    <row r="238" spans="1:12" ht="23.25" x14ac:dyDescent="0.5">
      <c r="A238" s="340" t="s">
        <v>404</v>
      </c>
      <c r="B238" s="336"/>
      <c r="C238" s="336"/>
      <c r="D238" s="341"/>
      <c r="E238" s="336"/>
      <c r="F238" s="337"/>
    </row>
    <row r="239" spans="1:12" ht="23.25" x14ac:dyDescent="0.5">
      <c r="A239" s="610"/>
      <c r="B239" s="342"/>
      <c r="C239" s="342"/>
      <c r="D239" s="343"/>
      <c r="E239" s="336"/>
      <c r="F239" s="337"/>
    </row>
    <row r="240" spans="1:12" ht="23.25" x14ac:dyDescent="0.5">
      <c r="A240" s="344" t="s">
        <v>405</v>
      </c>
      <c r="B240" s="342" t="s">
        <v>406</v>
      </c>
      <c r="C240" s="342"/>
      <c r="D240" s="343" t="s">
        <v>402</v>
      </c>
      <c r="E240" s="336"/>
      <c r="F240" s="337"/>
    </row>
    <row r="241" spans="1:206" ht="23.25" x14ac:dyDescent="0.5">
      <c r="A241" s="345" t="s">
        <v>748</v>
      </c>
      <c r="B241" s="346">
        <v>534657</v>
      </c>
      <c r="C241" s="347"/>
      <c r="D241" s="348">
        <v>9292.34</v>
      </c>
      <c r="E241" s="630"/>
      <c r="F241" s="337"/>
    </row>
    <row r="242" spans="1:206" ht="23.25" x14ac:dyDescent="0.5">
      <c r="A242" s="349"/>
      <c r="B242" s="350"/>
      <c r="C242" s="351"/>
      <c r="D242" s="352"/>
      <c r="E242" s="336"/>
      <c r="F242" s="337"/>
    </row>
    <row r="243" spans="1:206" ht="23.25" x14ac:dyDescent="0.5">
      <c r="A243" s="345"/>
      <c r="B243" s="346"/>
      <c r="C243" s="342"/>
      <c r="D243" s="348"/>
      <c r="E243" s="353">
        <v>0</v>
      </c>
      <c r="F243" s="337"/>
    </row>
    <row r="244" spans="1:206" ht="23.25" x14ac:dyDescent="0.5">
      <c r="A244" s="345"/>
      <c r="B244" s="346"/>
      <c r="C244" s="342"/>
      <c r="D244" s="348"/>
      <c r="E244" s="353"/>
      <c r="F244" s="337"/>
    </row>
    <row r="245" spans="1:206" ht="24" thickBot="1" x14ac:dyDescent="0.55000000000000004">
      <c r="A245" s="345"/>
      <c r="B245" s="346"/>
      <c r="C245" s="356" t="s">
        <v>151</v>
      </c>
      <c r="D245" s="620">
        <f>SUM(D241:D244)</f>
        <v>9292.34</v>
      </c>
      <c r="E245" s="631">
        <f>+D245</f>
        <v>9292.34</v>
      </c>
      <c r="F245" s="337"/>
    </row>
    <row r="246" spans="1:206" ht="24" thickTop="1" x14ac:dyDescent="0.5">
      <c r="A246" s="357" t="s">
        <v>407</v>
      </c>
      <c r="B246" s="336"/>
      <c r="C246" s="336"/>
      <c r="D246" s="358"/>
      <c r="E246" s="354"/>
      <c r="F246" s="337"/>
    </row>
    <row r="247" spans="1:206" ht="23.25" x14ac:dyDescent="0.5">
      <c r="A247" s="357" t="s">
        <v>749</v>
      </c>
      <c r="B247" s="336"/>
      <c r="C247" s="336"/>
      <c r="D247" s="358"/>
      <c r="E247" s="632">
        <v>14375.57</v>
      </c>
      <c r="F247" s="337"/>
    </row>
    <row r="248" spans="1:206" ht="23.25" x14ac:dyDescent="0.5">
      <c r="A248" s="357" t="s">
        <v>750</v>
      </c>
      <c r="B248" s="336"/>
      <c r="C248" s="336"/>
      <c r="D248" s="358"/>
      <c r="E248" s="632">
        <v>5489.74</v>
      </c>
      <c r="F248" s="337"/>
    </row>
    <row r="249" spans="1:206" ht="23.25" x14ac:dyDescent="0.5">
      <c r="A249" s="357"/>
      <c r="B249" s="336"/>
      <c r="C249" s="336"/>
      <c r="D249" s="358"/>
      <c r="E249" s="633"/>
      <c r="F249" s="337"/>
    </row>
    <row r="250" spans="1:206" ht="23.25" x14ac:dyDescent="0.5">
      <c r="A250" s="357" t="s">
        <v>752</v>
      </c>
      <c r="B250" s="336"/>
      <c r="C250" s="336"/>
      <c r="D250" s="358"/>
      <c r="E250" s="633">
        <v>0.01</v>
      </c>
      <c r="F250" s="337"/>
    </row>
    <row r="251" spans="1:206" ht="23.25" x14ac:dyDescent="0.5">
      <c r="A251" s="359"/>
      <c r="B251" s="336"/>
      <c r="C251" s="336"/>
      <c r="D251" s="360"/>
      <c r="E251" s="335"/>
      <c r="F251" s="337"/>
    </row>
    <row r="252" spans="1:206" ht="23.25" x14ac:dyDescent="0.5">
      <c r="A252" s="340" t="s">
        <v>408</v>
      </c>
      <c r="B252" s="336"/>
      <c r="C252" s="336"/>
      <c r="D252" s="337"/>
      <c r="E252" s="633"/>
      <c r="F252" s="337"/>
    </row>
    <row r="253" spans="1:206" ht="23.25" x14ac:dyDescent="0.5">
      <c r="A253" s="893"/>
      <c r="B253" s="894"/>
      <c r="C253" s="894"/>
      <c r="D253" s="895"/>
      <c r="E253" s="361"/>
      <c r="F253" s="634"/>
    </row>
    <row r="254" spans="1:206" ht="24" thickBot="1" x14ac:dyDescent="0.55000000000000004">
      <c r="A254" s="359" t="s">
        <v>711</v>
      </c>
      <c r="B254" s="324"/>
      <c r="C254" s="371"/>
      <c r="D254" s="355"/>
      <c r="E254" s="362">
        <f>+E236-E245-E247-E248-E249+E250</f>
        <v>8319435.1999999993</v>
      </c>
      <c r="F254" s="363"/>
      <c r="G254" s="324"/>
      <c r="H254" s="324"/>
      <c r="I254" s="371"/>
      <c r="J254" s="355"/>
      <c r="K254" s="372"/>
      <c r="L254" s="355"/>
      <c r="AF254" s="355"/>
      <c r="AG254" s="354"/>
      <c r="AH254" s="355"/>
      <c r="AI254" s="354"/>
      <c r="AJ254" s="355"/>
      <c r="AK254" s="354"/>
      <c r="AL254" s="355"/>
      <c r="AM254" s="354"/>
      <c r="AN254" s="355"/>
      <c r="AO254" s="354"/>
      <c r="AP254" s="355"/>
      <c r="AQ254" s="354"/>
      <c r="AR254" s="355"/>
      <c r="AS254" s="354"/>
      <c r="AT254" s="355"/>
      <c r="AU254" s="354"/>
      <c r="AV254" s="355"/>
      <c r="AW254" s="354"/>
      <c r="AX254" s="355"/>
      <c r="AY254" s="354"/>
      <c r="AZ254" s="355"/>
      <c r="BA254" s="354"/>
      <c r="BB254" s="355"/>
      <c r="BC254" s="354"/>
      <c r="BD254" s="355"/>
      <c r="BE254" s="354"/>
      <c r="BF254" s="355"/>
      <c r="BG254" s="354"/>
      <c r="BH254" s="355"/>
      <c r="BI254" s="354"/>
      <c r="BJ254" s="355"/>
      <c r="BK254" s="354"/>
      <c r="BL254" s="355"/>
      <c r="BM254" s="354"/>
      <c r="BN254" s="355"/>
      <c r="BO254" s="354"/>
      <c r="BP254" s="355"/>
      <c r="BQ254" s="354"/>
      <c r="BR254" s="355"/>
      <c r="BS254" s="354"/>
      <c r="BT254" s="355"/>
      <c r="BU254" s="354"/>
      <c r="BV254" s="355"/>
      <c r="BW254" s="354"/>
      <c r="BX254" s="355"/>
      <c r="BY254" s="354"/>
      <c r="BZ254" s="355"/>
      <c r="CA254" s="354"/>
      <c r="CB254" s="355"/>
      <c r="CC254" s="354"/>
      <c r="CD254" s="355"/>
      <c r="CE254" s="354"/>
      <c r="CF254" s="355"/>
      <c r="CG254" s="354"/>
      <c r="CH254" s="355"/>
      <c r="CI254" s="354"/>
      <c r="CJ254" s="355"/>
      <c r="CK254" s="354"/>
      <c r="CL254" s="355"/>
      <c r="CM254" s="354"/>
      <c r="CN254" s="355"/>
      <c r="CO254" s="354"/>
      <c r="CP254" s="355"/>
      <c r="CQ254" s="354"/>
      <c r="CR254" s="355"/>
      <c r="CS254" s="354"/>
      <c r="CT254" s="355"/>
      <c r="CU254" s="354"/>
      <c r="CV254" s="355"/>
      <c r="CW254" s="354"/>
      <c r="CX254" s="355"/>
      <c r="CY254" s="354"/>
      <c r="CZ254" s="355"/>
      <c r="DA254" s="354"/>
      <c r="DB254" s="355"/>
      <c r="DC254" s="354"/>
      <c r="DD254" s="355"/>
      <c r="DE254" s="354"/>
      <c r="DF254" s="355"/>
      <c r="DG254" s="354"/>
      <c r="DH254" s="355"/>
      <c r="DI254" s="354"/>
      <c r="DJ254" s="355"/>
      <c r="DK254" s="354"/>
      <c r="DL254" s="355"/>
      <c r="DM254" s="354"/>
      <c r="DN254" s="355"/>
      <c r="DO254" s="354"/>
      <c r="DP254" s="355"/>
      <c r="DQ254" s="354"/>
      <c r="DR254" s="355"/>
      <c r="DS254" s="354"/>
      <c r="DT254" s="355"/>
      <c r="DU254" s="354"/>
      <c r="DV254" s="355"/>
      <c r="DW254" s="354"/>
      <c r="DX254" s="355"/>
      <c r="DY254" s="354"/>
      <c r="DZ254" s="355"/>
      <c r="EA254" s="354"/>
      <c r="EB254" s="355"/>
      <c r="EC254" s="354"/>
      <c r="ED254" s="355"/>
      <c r="EE254" s="354"/>
      <c r="EF254" s="355"/>
      <c r="EG254" s="354"/>
      <c r="EH254" s="355"/>
      <c r="EI254" s="354"/>
      <c r="EJ254" s="355"/>
      <c r="EK254" s="354"/>
      <c r="EL254" s="355"/>
      <c r="EM254" s="354"/>
      <c r="EN254" s="355"/>
      <c r="EO254" s="354"/>
      <c r="EP254" s="355"/>
      <c r="EQ254" s="354"/>
      <c r="ER254" s="355"/>
      <c r="ES254" s="354"/>
      <c r="ET254" s="355"/>
      <c r="EU254" s="354"/>
      <c r="EV254" s="355"/>
      <c r="EW254" s="354"/>
      <c r="EX254" s="355"/>
      <c r="EY254" s="354"/>
      <c r="EZ254" s="355"/>
      <c r="FA254" s="354"/>
      <c r="FB254" s="355"/>
      <c r="FC254" s="354"/>
      <c r="FD254" s="355"/>
      <c r="FE254" s="354"/>
      <c r="FF254" s="355"/>
      <c r="FG254" s="354"/>
      <c r="FH254" s="355"/>
      <c r="FI254" s="354"/>
      <c r="FJ254" s="355"/>
      <c r="FK254" s="354"/>
      <c r="FL254" s="355"/>
      <c r="FM254" s="354"/>
      <c r="FN254" s="355"/>
      <c r="FO254" s="354"/>
      <c r="FP254" s="355"/>
      <c r="FQ254" s="354"/>
      <c r="FR254" s="355"/>
      <c r="FS254" s="354"/>
      <c r="FT254" s="355"/>
      <c r="FU254" s="354"/>
      <c r="FV254" s="355"/>
      <c r="FW254" s="354"/>
      <c r="FX254" s="355"/>
      <c r="FY254" s="354"/>
      <c r="FZ254" s="355"/>
      <c r="GA254" s="354"/>
      <c r="GB254" s="355"/>
      <c r="GC254" s="354"/>
      <c r="GD254" s="355"/>
      <c r="GE254" s="354"/>
      <c r="GF254" s="355"/>
      <c r="GG254" s="354"/>
      <c r="GH254" s="355"/>
      <c r="GI254" s="354"/>
      <c r="GJ254" s="355"/>
      <c r="GK254" s="354"/>
      <c r="GL254" s="355"/>
      <c r="GM254" s="354"/>
      <c r="GN254" s="355"/>
      <c r="GO254" s="354"/>
      <c r="GP254" s="355"/>
      <c r="GQ254" s="354"/>
      <c r="GR254" s="355"/>
      <c r="GS254" s="354"/>
      <c r="GT254" s="355"/>
      <c r="GU254" s="354"/>
      <c r="GV254" s="355"/>
      <c r="GW254" s="354"/>
      <c r="GX254" s="355"/>
    </row>
    <row r="255" spans="1:206" ht="24" thickTop="1" x14ac:dyDescent="0.5">
      <c r="A255" s="364"/>
      <c r="B255" s="365"/>
      <c r="C255" s="365"/>
      <c r="D255" s="366"/>
      <c r="E255" s="365"/>
      <c r="F255" s="366"/>
      <c r="G255" s="336"/>
      <c r="H255" s="336"/>
      <c r="I255" s="336"/>
      <c r="J255" s="336"/>
      <c r="K255" s="336"/>
      <c r="L255" s="336"/>
    </row>
    <row r="256" spans="1:206" ht="23.25" x14ac:dyDescent="0.5">
      <c r="A256" s="367" t="s">
        <v>409</v>
      </c>
      <c r="B256" s="368"/>
      <c r="C256" s="319"/>
      <c r="D256" s="369" t="s">
        <v>410</v>
      </c>
      <c r="E256" s="336"/>
      <c r="F256" s="337"/>
      <c r="G256" s="324"/>
      <c r="H256" s="336"/>
      <c r="I256" s="336"/>
      <c r="J256" s="369"/>
      <c r="K256" s="336"/>
      <c r="L256" s="336"/>
    </row>
    <row r="257" spans="1:12" ht="23.25" x14ac:dyDescent="0.5">
      <c r="A257" s="335" t="s">
        <v>500</v>
      </c>
      <c r="B257" s="336"/>
      <c r="C257" s="336"/>
      <c r="D257" s="335" t="s">
        <v>501</v>
      </c>
      <c r="E257" s="336"/>
      <c r="F257" s="337"/>
      <c r="G257" s="336"/>
      <c r="H257" s="336"/>
      <c r="I257" s="336"/>
      <c r="J257" s="336"/>
      <c r="K257" s="336"/>
      <c r="L257" s="336"/>
    </row>
    <row r="258" spans="1:12" ht="23.25" x14ac:dyDescent="0.5">
      <c r="A258" s="335" t="s">
        <v>502</v>
      </c>
      <c r="B258" s="336"/>
      <c r="C258" s="337"/>
      <c r="D258" s="335" t="s">
        <v>502</v>
      </c>
      <c r="E258" s="336"/>
      <c r="F258" s="337"/>
      <c r="G258" s="336"/>
      <c r="H258" s="336"/>
      <c r="I258" s="336"/>
      <c r="J258" s="336"/>
      <c r="K258" s="336"/>
      <c r="L258" s="336"/>
    </row>
    <row r="259" spans="1:12" ht="23.25" x14ac:dyDescent="0.5">
      <c r="A259" s="335" t="s">
        <v>411</v>
      </c>
      <c r="B259" s="336"/>
      <c r="C259" s="337"/>
      <c r="D259" s="335" t="s">
        <v>411</v>
      </c>
      <c r="E259" s="336"/>
      <c r="F259" s="337"/>
      <c r="G259" s="336"/>
      <c r="H259" s="336"/>
      <c r="I259" s="336"/>
      <c r="J259" s="336"/>
      <c r="K259" s="336"/>
      <c r="L259" s="336"/>
    </row>
    <row r="260" spans="1:12" ht="23.25" x14ac:dyDescent="0.5">
      <c r="A260" s="335" t="s">
        <v>712</v>
      </c>
      <c r="B260" s="336"/>
      <c r="C260" s="336"/>
      <c r="D260" s="335" t="s">
        <v>712</v>
      </c>
      <c r="E260" s="336"/>
      <c r="F260" s="337"/>
      <c r="G260" s="336"/>
      <c r="H260" s="336"/>
      <c r="I260" s="336"/>
      <c r="J260" s="336"/>
      <c r="K260" s="336"/>
      <c r="L260" s="336"/>
    </row>
    <row r="261" spans="1:12" ht="23.25" x14ac:dyDescent="0.5">
      <c r="A261" s="364"/>
      <c r="B261" s="365"/>
      <c r="C261" s="370"/>
      <c r="D261" s="365"/>
      <c r="E261" s="365"/>
      <c r="F261" s="366"/>
      <c r="G261" s="336"/>
      <c r="H261" s="336"/>
      <c r="I261" s="373"/>
      <c r="J261" s="336"/>
      <c r="K261" s="336"/>
      <c r="L261" s="336"/>
    </row>
    <row r="265" spans="1:12" ht="29.25" x14ac:dyDescent="0.6">
      <c r="A265" s="314" t="s">
        <v>398</v>
      </c>
      <c r="B265" s="315"/>
      <c r="C265" s="316"/>
      <c r="D265" s="317"/>
      <c r="E265" s="318" t="s">
        <v>745</v>
      </c>
      <c r="F265" s="319"/>
    </row>
    <row r="266" spans="1:12" ht="29.25" x14ac:dyDescent="0.6">
      <c r="A266" s="320" t="s">
        <v>400</v>
      </c>
      <c r="B266" s="321"/>
      <c r="C266" s="322"/>
      <c r="D266" s="323"/>
      <c r="E266" s="324" t="s">
        <v>746</v>
      </c>
      <c r="F266" s="325"/>
    </row>
    <row r="267" spans="1:12" ht="29.25" x14ac:dyDescent="0.6">
      <c r="A267" s="326"/>
      <c r="B267" s="327"/>
      <c r="C267" s="328"/>
      <c r="D267" s="329"/>
      <c r="E267" s="330" t="s">
        <v>13</v>
      </c>
      <c r="F267" s="331"/>
    </row>
    <row r="268" spans="1:12" ht="21" x14ac:dyDescent="0.45">
      <c r="A268" s="332"/>
      <c r="B268" s="317"/>
      <c r="C268" s="317"/>
      <c r="D268" s="333"/>
      <c r="E268" s="334" t="s">
        <v>402</v>
      </c>
      <c r="F268" s="333" t="s">
        <v>9</v>
      </c>
    </row>
    <row r="269" spans="1:12" ht="23.25" x14ac:dyDescent="0.5">
      <c r="A269" s="335" t="s">
        <v>713</v>
      </c>
      <c r="B269" s="171"/>
      <c r="C269" s="336"/>
      <c r="D269" s="337"/>
      <c r="E269" s="338">
        <v>8133230</v>
      </c>
      <c r="F269" s="337"/>
    </row>
    <row r="270" spans="1:12" ht="23.25" x14ac:dyDescent="0.5">
      <c r="A270" s="339" t="s">
        <v>403</v>
      </c>
      <c r="B270" s="171"/>
      <c r="C270" s="336"/>
      <c r="D270" s="337"/>
      <c r="E270" s="338">
        <v>0</v>
      </c>
      <c r="F270" s="337"/>
      <c r="H270">
        <v>9</v>
      </c>
    </row>
    <row r="271" spans="1:12" ht="23.25" x14ac:dyDescent="0.5">
      <c r="A271" s="340" t="s">
        <v>404</v>
      </c>
      <c r="B271" s="336"/>
      <c r="C271" s="336"/>
      <c r="D271" s="341"/>
      <c r="E271" s="336"/>
      <c r="F271" s="337"/>
    </row>
    <row r="272" spans="1:12" ht="23.25" x14ac:dyDescent="0.5">
      <c r="A272" s="610"/>
      <c r="B272" s="342"/>
      <c r="C272" s="342"/>
      <c r="D272" s="343"/>
      <c r="E272" s="336"/>
      <c r="F272" s="337"/>
    </row>
    <row r="273" spans="1:206" ht="23.25" x14ac:dyDescent="0.5">
      <c r="A273" s="344" t="s">
        <v>405</v>
      </c>
      <c r="B273" s="342" t="s">
        <v>406</v>
      </c>
      <c r="C273" s="342"/>
      <c r="D273" s="343" t="s">
        <v>402</v>
      </c>
      <c r="E273" s="336"/>
      <c r="F273" s="337"/>
    </row>
    <row r="274" spans="1:206" ht="23.25" x14ac:dyDescent="0.5">
      <c r="A274" s="345" t="s">
        <v>748</v>
      </c>
      <c r="B274" s="346">
        <v>534657</v>
      </c>
      <c r="C274" s="347"/>
      <c r="D274" s="348">
        <v>9292.34</v>
      </c>
      <c r="E274" s="630"/>
      <c r="F274" s="337"/>
    </row>
    <row r="275" spans="1:206" ht="23.25" x14ac:dyDescent="0.5">
      <c r="A275" s="349"/>
      <c r="B275" s="350"/>
      <c r="C275" s="351"/>
      <c r="D275" s="352"/>
      <c r="E275" s="336"/>
      <c r="F275" s="337"/>
    </row>
    <row r="276" spans="1:206" ht="23.25" x14ac:dyDescent="0.5">
      <c r="A276" s="345"/>
      <c r="B276" s="346"/>
      <c r="C276" s="342"/>
      <c r="D276" s="348"/>
      <c r="E276" s="353">
        <v>0</v>
      </c>
      <c r="F276" s="337"/>
    </row>
    <row r="277" spans="1:206" ht="23.25" x14ac:dyDescent="0.5">
      <c r="A277" s="345"/>
      <c r="B277" s="346"/>
      <c r="C277" s="342"/>
      <c r="D277" s="348"/>
      <c r="E277" s="353"/>
      <c r="F277" s="337"/>
    </row>
    <row r="278" spans="1:206" ht="24" thickBot="1" x14ac:dyDescent="0.55000000000000004">
      <c r="A278" s="345"/>
      <c r="B278" s="346"/>
      <c r="C278" s="356" t="s">
        <v>151</v>
      </c>
      <c r="D278" s="620">
        <f>SUM(D274:D277)</f>
        <v>9292.34</v>
      </c>
      <c r="E278" s="631">
        <f>+D278</f>
        <v>9292.34</v>
      </c>
      <c r="F278" s="337"/>
    </row>
    <row r="279" spans="1:206" ht="24" thickTop="1" x14ac:dyDescent="0.5">
      <c r="A279" s="357" t="s">
        <v>407</v>
      </c>
      <c r="B279" s="336"/>
      <c r="C279" s="336"/>
      <c r="D279" s="358"/>
      <c r="E279" s="354"/>
      <c r="F279" s="337"/>
    </row>
    <row r="280" spans="1:206" ht="23.25" x14ac:dyDescent="0.5">
      <c r="A280" s="357" t="s">
        <v>749</v>
      </c>
      <c r="B280" s="336"/>
      <c r="C280" s="336"/>
      <c r="D280" s="358"/>
      <c r="E280" s="632">
        <v>14375.57</v>
      </c>
      <c r="F280" s="337"/>
    </row>
    <row r="281" spans="1:206" ht="23.25" x14ac:dyDescent="0.5">
      <c r="A281" s="357" t="s">
        <v>750</v>
      </c>
      <c r="B281" s="336"/>
      <c r="C281" s="336"/>
      <c r="D281" s="358"/>
      <c r="E281" s="632">
        <v>5489.74</v>
      </c>
      <c r="F281" s="337"/>
    </row>
    <row r="282" spans="1:206" ht="23.25" x14ac:dyDescent="0.5">
      <c r="A282" s="357" t="s">
        <v>776</v>
      </c>
      <c r="B282" s="336"/>
      <c r="C282" s="336"/>
      <c r="D282" s="358"/>
      <c r="E282" s="633">
        <v>24237.67</v>
      </c>
      <c r="F282" s="337"/>
    </row>
    <row r="283" spans="1:206" ht="23.25" x14ac:dyDescent="0.5">
      <c r="A283" s="357" t="s">
        <v>752</v>
      </c>
      <c r="B283" s="336"/>
      <c r="C283" s="336"/>
      <c r="D283" s="358"/>
      <c r="E283" s="633">
        <v>0.01</v>
      </c>
      <c r="F283" s="337"/>
    </row>
    <row r="284" spans="1:206" ht="23.25" x14ac:dyDescent="0.5">
      <c r="A284" s="359"/>
      <c r="B284" s="336"/>
      <c r="C284" s="336"/>
      <c r="D284" s="360"/>
      <c r="E284" s="335"/>
      <c r="F284" s="337"/>
    </row>
    <row r="285" spans="1:206" ht="23.25" x14ac:dyDescent="0.5">
      <c r="A285" s="340" t="s">
        <v>408</v>
      </c>
      <c r="B285" s="336"/>
      <c r="C285" s="336"/>
      <c r="D285" s="337"/>
      <c r="E285" s="633"/>
      <c r="F285" s="337"/>
    </row>
    <row r="286" spans="1:206" ht="23.25" x14ac:dyDescent="0.5">
      <c r="A286" s="893"/>
      <c r="B286" s="894"/>
      <c r="C286" s="894"/>
      <c r="D286" s="895"/>
      <c r="E286" s="361"/>
      <c r="F286" s="634"/>
    </row>
    <row r="287" spans="1:206" ht="24" thickBot="1" x14ac:dyDescent="0.55000000000000004">
      <c r="A287" s="359" t="s">
        <v>717</v>
      </c>
      <c r="B287" s="324"/>
      <c r="C287" s="371"/>
      <c r="D287" s="355"/>
      <c r="E287" s="362">
        <f>+E269-E278-E280-E281-E282+E283</f>
        <v>8079834.6899999995</v>
      </c>
      <c r="F287" s="363"/>
      <c r="G287" s="324"/>
      <c r="H287" s="324"/>
      <c r="I287" s="371"/>
      <c r="J287" s="355"/>
      <c r="K287" s="372"/>
      <c r="L287" s="355"/>
      <c r="AF287" s="355"/>
      <c r="AG287" s="354"/>
      <c r="AH287" s="355"/>
      <c r="AI287" s="354"/>
      <c r="AJ287" s="355"/>
      <c r="AK287" s="354"/>
      <c r="AL287" s="355"/>
      <c r="AM287" s="354"/>
      <c r="AN287" s="355"/>
      <c r="AO287" s="354"/>
      <c r="AP287" s="355"/>
      <c r="AQ287" s="354"/>
      <c r="AR287" s="355"/>
      <c r="AS287" s="354"/>
      <c r="AT287" s="355"/>
      <c r="AU287" s="354"/>
      <c r="AV287" s="355"/>
      <c r="AW287" s="354"/>
      <c r="AX287" s="355"/>
      <c r="AY287" s="354"/>
      <c r="AZ287" s="355"/>
      <c r="BA287" s="354"/>
      <c r="BB287" s="355"/>
      <c r="BC287" s="354"/>
      <c r="BD287" s="355"/>
      <c r="BE287" s="354"/>
      <c r="BF287" s="355"/>
      <c r="BG287" s="354"/>
      <c r="BH287" s="355"/>
      <c r="BI287" s="354"/>
      <c r="BJ287" s="355"/>
      <c r="BK287" s="354"/>
      <c r="BL287" s="355"/>
      <c r="BM287" s="354"/>
      <c r="BN287" s="355"/>
      <c r="BO287" s="354"/>
      <c r="BP287" s="355"/>
      <c r="BQ287" s="354"/>
      <c r="BR287" s="355"/>
      <c r="BS287" s="354"/>
      <c r="BT287" s="355"/>
      <c r="BU287" s="354"/>
      <c r="BV287" s="355"/>
      <c r="BW287" s="354"/>
      <c r="BX287" s="355"/>
      <c r="BY287" s="354"/>
      <c r="BZ287" s="355"/>
      <c r="CA287" s="354"/>
      <c r="CB287" s="355"/>
      <c r="CC287" s="354"/>
      <c r="CD287" s="355"/>
      <c r="CE287" s="354"/>
      <c r="CF287" s="355"/>
      <c r="CG287" s="354"/>
      <c r="CH287" s="355"/>
      <c r="CI287" s="354"/>
      <c r="CJ287" s="355"/>
      <c r="CK287" s="354"/>
      <c r="CL287" s="355"/>
      <c r="CM287" s="354"/>
      <c r="CN287" s="355"/>
      <c r="CO287" s="354"/>
      <c r="CP287" s="355"/>
      <c r="CQ287" s="354"/>
      <c r="CR287" s="355"/>
      <c r="CS287" s="354"/>
      <c r="CT287" s="355"/>
      <c r="CU287" s="354"/>
      <c r="CV287" s="355"/>
      <c r="CW287" s="354"/>
      <c r="CX287" s="355"/>
      <c r="CY287" s="354"/>
      <c r="CZ287" s="355"/>
      <c r="DA287" s="354"/>
      <c r="DB287" s="355"/>
      <c r="DC287" s="354"/>
      <c r="DD287" s="355"/>
      <c r="DE287" s="354"/>
      <c r="DF287" s="355"/>
      <c r="DG287" s="354"/>
      <c r="DH287" s="355"/>
      <c r="DI287" s="354"/>
      <c r="DJ287" s="355"/>
      <c r="DK287" s="354"/>
      <c r="DL287" s="355"/>
      <c r="DM287" s="354"/>
      <c r="DN287" s="355"/>
      <c r="DO287" s="354"/>
      <c r="DP287" s="355"/>
      <c r="DQ287" s="354"/>
      <c r="DR287" s="355"/>
      <c r="DS287" s="354"/>
      <c r="DT287" s="355"/>
      <c r="DU287" s="354"/>
      <c r="DV287" s="355"/>
      <c r="DW287" s="354"/>
      <c r="DX287" s="355"/>
      <c r="DY287" s="354"/>
      <c r="DZ287" s="355"/>
      <c r="EA287" s="354"/>
      <c r="EB287" s="355"/>
      <c r="EC287" s="354"/>
      <c r="ED287" s="355"/>
      <c r="EE287" s="354"/>
      <c r="EF287" s="355"/>
      <c r="EG287" s="354"/>
      <c r="EH287" s="355"/>
      <c r="EI287" s="354"/>
      <c r="EJ287" s="355"/>
      <c r="EK287" s="354"/>
      <c r="EL287" s="355"/>
      <c r="EM287" s="354"/>
      <c r="EN287" s="355"/>
      <c r="EO287" s="354"/>
      <c r="EP287" s="355"/>
      <c r="EQ287" s="354"/>
      <c r="ER287" s="355"/>
      <c r="ES287" s="354"/>
      <c r="ET287" s="355"/>
      <c r="EU287" s="354"/>
      <c r="EV287" s="355"/>
      <c r="EW287" s="354"/>
      <c r="EX287" s="355"/>
      <c r="EY287" s="354"/>
      <c r="EZ287" s="355"/>
      <c r="FA287" s="354"/>
      <c r="FB287" s="355"/>
      <c r="FC287" s="354"/>
      <c r="FD287" s="355"/>
      <c r="FE287" s="354"/>
      <c r="FF287" s="355"/>
      <c r="FG287" s="354"/>
      <c r="FH287" s="355"/>
      <c r="FI287" s="354"/>
      <c r="FJ287" s="355"/>
      <c r="FK287" s="354"/>
      <c r="FL287" s="355"/>
      <c r="FM287" s="354"/>
      <c r="FN287" s="355"/>
      <c r="FO287" s="354"/>
      <c r="FP287" s="355"/>
      <c r="FQ287" s="354"/>
      <c r="FR287" s="355"/>
      <c r="FS287" s="354"/>
      <c r="FT287" s="355"/>
      <c r="FU287" s="354"/>
      <c r="FV287" s="355"/>
      <c r="FW287" s="354"/>
      <c r="FX287" s="355"/>
      <c r="FY287" s="354"/>
      <c r="FZ287" s="355"/>
      <c r="GA287" s="354"/>
      <c r="GB287" s="355"/>
      <c r="GC287" s="354"/>
      <c r="GD287" s="355"/>
      <c r="GE287" s="354"/>
      <c r="GF287" s="355"/>
      <c r="GG287" s="354"/>
      <c r="GH287" s="355"/>
      <c r="GI287" s="354"/>
      <c r="GJ287" s="355"/>
      <c r="GK287" s="354"/>
      <c r="GL287" s="355"/>
      <c r="GM287" s="354"/>
      <c r="GN287" s="355"/>
      <c r="GO287" s="354"/>
      <c r="GP287" s="355"/>
      <c r="GQ287" s="354"/>
      <c r="GR287" s="355"/>
      <c r="GS287" s="354"/>
      <c r="GT287" s="355"/>
      <c r="GU287" s="354"/>
      <c r="GV287" s="355"/>
      <c r="GW287" s="354"/>
      <c r="GX287" s="355"/>
    </row>
    <row r="288" spans="1:206" ht="24" thickTop="1" x14ac:dyDescent="0.5">
      <c r="A288" s="364"/>
      <c r="B288" s="365"/>
      <c r="C288" s="365"/>
      <c r="D288" s="366"/>
      <c r="E288" s="365"/>
      <c r="F288" s="366"/>
      <c r="G288" s="336"/>
      <c r="H288" s="336"/>
      <c r="I288" s="336"/>
      <c r="J288" s="336"/>
      <c r="K288" s="336"/>
      <c r="L288" s="336"/>
    </row>
    <row r="289" spans="1:12" ht="23.25" x14ac:dyDescent="0.5">
      <c r="A289" s="367" t="s">
        <v>409</v>
      </c>
      <c r="B289" s="368"/>
      <c r="C289" s="319"/>
      <c r="D289" s="369" t="s">
        <v>410</v>
      </c>
      <c r="E289" s="336"/>
      <c r="F289" s="337"/>
      <c r="G289" s="324"/>
      <c r="H289" s="336"/>
      <c r="I289" s="336"/>
      <c r="J289" s="369"/>
      <c r="K289" s="336"/>
      <c r="L289" s="336"/>
    </row>
    <row r="290" spans="1:12" ht="23.25" x14ac:dyDescent="0.5">
      <c r="A290" s="335" t="s">
        <v>500</v>
      </c>
      <c r="B290" s="336"/>
      <c r="C290" s="336"/>
      <c r="D290" s="335" t="s">
        <v>501</v>
      </c>
      <c r="E290" s="336"/>
      <c r="F290" s="337"/>
      <c r="G290" s="336"/>
      <c r="H290" s="336"/>
      <c r="I290" s="336"/>
      <c r="J290" s="336"/>
      <c r="K290" s="336"/>
      <c r="L290" s="336"/>
    </row>
    <row r="291" spans="1:12" ht="23.25" x14ac:dyDescent="0.5">
      <c r="A291" s="335" t="s">
        <v>502</v>
      </c>
      <c r="B291" s="336"/>
      <c r="C291" s="337"/>
      <c r="D291" s="335" t="s">
        <v>502</v>
      </c>
      <c r="E291" s="336"/>
      <c r="F291" s="337"/>
      <c r="G291" s="336"/>
      <c r="H291" s="336"/>
      <c r="I291" s="336"/>
      <c r="J291" s="336"/>
      <c r="K291" s="336"/>
      <c r="L291" s="336"/>
    </row>
    <row r="292" spans="1:12" ht="23.25" x14ac:dyDescent="0.5">
      <c r="A292" s="335" t="s">
        <v>411</v>
      </c>
      <c r="B292" s="336"/>
      <c r="C292" s="337"/>
      <c r="D292" s="335" t="s">
        <v>411</v>
      </c>
      <c r="E292" s="336"/>
      <c r="F292" s="337"/>
      <c r="G292" s="336"/>
      <c r="H292" s="336"/>
      <c r="I292" s="336"/>
      <c r="J292" s="336"/>
      <c r="K292" s="336"/>
      <c r="L292" s="336"/>
    </row>
    <row r="293" spans="1:12" ht="23.25" x14ac:dyDescent="0.5">
      <c r="A293" s="335" t="s">
        <v>718</v>
      </c>
      <c r="B293" s="336"/>
      <c r="C293" s="336"/>
      <c r="D293" s="335" t="s">
        <v>718</v>
      </c>
      <c r="E293" s="336"/>
      <c r="F293" s="337"/>
      <c r="G293" s="336"/>
      <c r="H293" s="336"/>
      <c r="I293" s="336"/>
      <c r="J293" s="336"/>
      <c r="K293" s="336"/>
      <c r="L293" s="336"/>
    </row>
    <row r="294" spans="1:12" ht="23.25" x14ac:dyDescent="0.5">
      <c r="A294" s="364"/>
      <c r="B294" s="365"/>
      <c r="C294" s="370"/>
      <c r="D294" s="365"/>
      <c r="E294" s="365"/>
      <c r="F294" s="366"/>
      <c r="G294" s="336"/>
      <c r="H294" s="336"/>
      <c r="I294" s="373"/>
      <c r="J294" s="336"/>
      <c r="K294" s="336"/>
      <c r="L294" s="336"/>
    </row>
    <row r="298" spans="1:12" ht="29.25" x14ac:dyDescent="0.6">
      <c r="A298" s="314" t="s">
        <v>398</v>
      </c>
      <c r="B298" s="315"/>
      <c r="C298" s="316"/>
      <c r="D298" s="317"/>
      <c r="E298" s="318" t="s">
        <v>777</v>
      </c>
      <c r="F298" s="319"/>
    </row>
    <row r="299" spans="1:12" ht="29.25" x14ac:dyDescent="0.6">
      <c r="A299" s="320" t="s">
        <v>400</v>
      </c>
      <c r="B299" s="321"/>
      <c r="C299" s="322"/>
      <c r="D299" s="323"/>
      <c r="E299" s="324" t="s">
        <v>778</v>
      </c>
      <c r="F299" s="325"/>
    </row>
    <row r="300" spans="1:12" ht="29.25" x14ac:dyDescent="0.6">
      <c r="A300" s="326"/>
      <c r="B300" s="327"/>
      <c r="C300" s="328"/>
      <c r="D300" s="329"/>
      <c r="E300" s="330" t="s">
        <v>13</v>
      </c>
      <c r="F300" s="331"/>
    </row>
    <row r="301" spans="1:12" ht="21" x14ac:dyDescent="0.45">
      <c r="A301" s="332"/>
      <c r="B301" s="317"/>
      <c r="C301" s="317"/>
      <c r="D301" s="333"/>
      <c r="E301" s="334" t="s">
        <v>402</v>
      </c>
      <c r="F301" s="333" t="s">
        <v>9</v>
      </c>
    </row>
    <row r="302" spans="1:12" ht="23.25" x14ac:dyDescent="0.5">
      <c r="A302" s="335" t="s">
        <v>713</v>
      </c>
      <c r="B302" s="171"/>
      <c r="C302" s="336"/>
      <c r="D302" s="337"/>
      <c r="E302" s="338">
        <v>8133230</v>
      </c>
      <c r="F302" s="337"/>
    </row>
    <row r="303" spans="1:12" ht="23.25" x14ac:dyDescent="0.5">
      <c r="A303" s="339" t="s">
        <v>403</v>
      </c>
      <c r="B303" s="171"/>
      <c r="C303" s="336"/>
      <c r="D303" s="337"/>
      <c r="E303" s="338">
        <v>0</v>
      </c>
      <c r="F303" s="337"/>
      <c r="H303">
        <v>10</v>
      </c>
    </row>
    <row r="304" spans="1:12" ht="23.25" x14ac:dyDescent="0.5">
      <c r="A304" s="340" t="s">
        <v>404</v>
      </c>
      <c r="B304" s="336"/>
      <c r="C304" s="336"/>
      <c r="D304" s="341"/>
      <c r="E304" s="336"/>
      <c r="F304" s="337"/>
    </row>
    <row r="305" spans="1:206" ht="23.25" x14ac:dyDescent="0.5">
      <c r="A305" s="610"/>
      <c r="B305" s="342"/>
      <c r="C305" s="342"/>
      <c r="D305" s="343"/>
      <c r="E305" s="336"/>
      <c r="F305" s="337"/>
    </row>
    <row r="306" spans="1:206" ht="23.25" x14ac:dyDescent="0.5">
      <c r="A306" s="344" t="s">
        <v>405</v>
      </c>
      <c r="B306" s="342" t="s">
        <v>406</v>
      </c>
      <c r="C306" s="342"/>
      <c r="D306" s="343" t="s">
        <v>402</v>
      </c>
      <c r="E306" s="336"/>
      <c r="F306" s="337"/>
    </row>
    <row r="307" spans="1:206" ht="23.25" x14ac:dyDescent="0.5">
      <c r="A307" s="345"/>
      <c r="B307" s="346"/>
      <c r="C307" s="347"/>
      <c r="D307" s="348"/>
      <c r="E307" s="630"/>
      <c r="F307" s="337"/>
    </row>
    <row r="308" spans="1:206" ht="23.25" x14ac:dyDescent="0.5">
      <c r="A308" s="349"/>
      <c r="B308" s="350"/>
      <c r="C308" s="351"/>
      <c r="D308" s="352"/>
      <c r="E308" s="336"/>
      <c r="F308" s="337"/>
    </row>
    <row r="309" spans="1:206" ht="23.25" x14ac:dyDescent="0.5">
      <c r="A309" s="345"/>
      <c r="B309" s="346"/>
      <c r="C309" s="342"/>
      <c r="D309" s="348"/>
      <c r="E309" s="353"/>
      <c r="F309" s="337"/>
    </row>
    <row r="310" spans="1:206" ht="24" thickBot="1" x14ac:dyDescent="0.55000000000000004">
      <c r="A310" s="345"/>
      <c r="B310" s="346"/>
      <c r="C310" s="356" t="s">
        <v>151</v>
      </c>
      <c r="D310" s="620">
        <f>SUM(D307:D309)</f>
        <v>0</v>
      </c>
      <c r="E310" s="631">
        <f>+D310</f>
        <v>0</v>
      </c>
      <c r="F310" s="337"/>
    </row>
    <row r="311" spans="1:206" ht="24" thickTop="1" x14ac:dyDescent="0.5">
      <c r="A311" s="357" t="s">
        <v>407</v>
      </c>
      <c r="B311" s="336"/>
      <c r="C311" s="336"/>
      <c r="D311" s="358"/>
      <c r="E311" s="354"/>
      <c r="F311" s="337"/>
    </row>
    <row r="312" spans="1:206" ht="23.25" x14ac:dyDescent="0.5">
      <c r="A312" s="357" t="s">
        <v>779</v>
      </c>
      <c r="B312" s="336" t="s">
        <v>780</v>
      </c>
      <c r="C312" s="336"/>
      <c r="D312" s="358"/>
      <c r="E312" s="632">
        <v>581816.39</v>
      </c>
      <c r="F312" s="337"/>
    </row>
    <row r="313" spans="1:206" ht="23.25" x14ac:dyDescent="0.5">
      <c r="A313" s="357"/>
      <c r="B313" s="336" t="s">
        <v>781</v>
      </c>
      <c r="C313" s="336"/>
      <c r="D313" s="358"/>
      <c r="E313" s="632">
        <v>36343.08</v>
      </c>
      <c r="F313" s="337"/>
    </row>
    <row r="314" spans="1:206" ht="23.25" x14ac:dyDescent="0.5">
      <c r="A314" s="357"/>
      <c r="B314" s="336" t="s">
        <v>782</v>
      </c>
      <c r="C314" s="336"/>
      <c r="D314" s="358"/>
      <c r="E314" s="633">
        <v>352125.41</v>
      </c>
      <c r="F314" s="337"/>
    </row>
    <row r="315" spans="1:206" ht="23.25" x14ac:dyDescent="0.5">
      <c r="A315" s="357"/>
      <c r="B315" s="336" t="s">
        <v>783</v>
      </c>
      <c r="C315" s="336"/>
      <c r="D315" s="358"/>
      <c r="E315" s="633">
        <v>3963.25</v>
      </c>
      <c r="F315" s="337"/>
    </row>
    <row r="316" spans="1:206" ht="23.25" x14ac:dyDescent="0.5">
      <c r="A316" s="359"/>
      <c r="B316" s="336"/>
      <c r="C316" s="336"/>
      <c r="D316" s="360"/>
      <c r="E316" s="335"/>
      <c r="F316" s="337"/>
    </row>
    <row r="317" spans="1:206" ht="23.25" x14ac:dyDescent="0.5">
      <c r="A317" s="340" t="s">
        <v>408</v>
      </c>
      <c r="B317" s="336"/>
      <c r="C317" s="336"/>
      <c r="D317" s="337"/>
      <c r="E317" s="633"/>
      <c r="F317" s="337"/>
    </row>
    <row r="318" spans="1:206" ht="23.25" x14ac:dyDescent="0.5">
      <c r="A318" s="893"/>
      <c r="B318" s="894"/>
      <c r="C318" s="894"/>
      <c r="D318" s="895"/>
      <c r="E318" s="361"/>
      <c r="F318" s="634"/>
    </row>
    <row r="319" spans="1:206" ht="24" thickBot="1" x14ac:dyDescent="0.55000000000000004">
      <c r="A319" s="359" t="s">
        <v>717</v>
      </c>
      <c r="B319" s="324"/>
      <c r="C319" s="371"/>
      <c r="D319" s="355"/>
      <c r="E319" s="362">
        <f>+E302-E312-E313-E314-E315</f>
        <v>7158981.8700000001</v>
      </c>
      <c r="F319" s="363"/>
      <c r="G319" s="324"/>
      <c r="H319" s="324"/>
      <c r="I319" s="371"/>
      <c r="J319" s="355"/>
      <c r="K319" s="372"/>
      <c r="L319" s="355"/>
      <c r="AF319" s="355"/>
      <c r="AG319" s="354"/>
      <c r="AH319" s="355"/>
      <c r="AI319" s="354"/>
      <c r="AJ319" s="355"/>
      <c r="AK319" s="354"/>
      <c r="AL319" s="355"/>
      <c r="AM319" s="354"/>
      <c r="AN319" s="355"/>
      <c r="AO319" s="354"/>
      <c r="AP319" s="355"/>
      <c r="AQ319" s="354"/>
      <c r="AR319" s="355"/>
      <c r="AS319" s="354"/>
      <c r="AT319" s="355"/>
      <c r="AU319" s="354"/>
      <c r="AV319" s="355"/>
      <c r="AW319" s="354"/>
      <c r="AX319" s="355"/>
      <c r="AY319" s="354"/>
      <c r="AZ319" s="355"/>
      <c r="BA319" s="354"/>
      <c r="BB319" s="355"/>
      <c r="BC319" s="354"/>
      <c r="BD319" s="355"/>
      <c r="BE319" s="354"/>
      <c r="BF319" s="355"/>
      <c r="BG319" s="354"/>
      <c r="BH319" s="355"/>
      <c r="BI319" s="354"/>
      <c r="BJ319" s="355"/>
      <c r="BK319" s="354"/>
      <c r="BL319" s="355"/>
      <c r="BM319" s="354"/>
      <c r="BN319" s="355"/>
      <c r="BO319" s="354"/>
      <c r="BP319" s="355"/>
      <c r="BQ319" s="354"/>
      <c r="BR319" s="355"/>
      <c r="BS319" s="354"/>
      <c r="BT319" s="355"/>
      <c r="BU319" s="354"/>
      <c r="BV319" s="355"/>
      <c r="BW319" s="354"/>
      <c r="BX319" s="355"/>
      <c r="BY319" s="354"/>
      <c r="BZ319" s="355"/>
      <c r="CA319" s="354"/>
      <c r="CB319" s="355"/>
      <c r="CC319" s="354"/>
      <c r="CD319" s="355"/>
      <c r="CE319" s="354"/>
      <c r="CF319" s="355"/>
      <c r="CG319" s="354"/>
      <c r="CH319" s="355"/>
      <c r="CI319" s="354"/>
      <c r="CJ319" s="355"/>
      <c r="CK319" s="354"/>
      <c r="CL319" s="355"/>
      <c r="CM319" s="354"/>
      <c r="CN319" s="355"/>
      <c r="CO319" s="354"/>
      <c r="CP319" s="355"/>
      <c r="CQ319" s="354"/>
      <c r="CR319" s="355"/>
      <c r="CS319" s="354"/>
      <c r="CT319" s="355"/>
      <c r="CU319" s="354"/>
      <c r="CV319" s="355"/>
      <c r="CW319" s="354"/>
      <c r="CX319" s="355"/>
      <c r="CY319" s="354"/>
      <c r="CZ319" s="355"/>
      <c r="DA319" s="354"/>
      <c r="DB319" s="355"/>
      <c r="DC319" s="354"/>
      <c r="DD319" s="355"/>
      <c r="DE319" s="354"/>
      <c r="DF319" s="355"/>
      <c r="DG319" s="354"/>
      <c r="DH319" s="355"/>
      <c r="DI319" s="354"/>
      <c r="DJ319" s="355"/>
      <c r="DK319" s="354"/>
      <c r="DL319" s="355"/>
      <c r="DM319" s="354"/>
      <c r="DN319" s="355"/>
      <c r="DO319" s="354"/>
      <c r="DP319" s="355"/>
      <c r="DQ319" s="354"/>
      <c r="DR319" s="355"/>
      <c r="DS319" s="354"/>
      <c r="DT319" s="355"/>
      <c r="DU319" s="354"/>
      <c r="DV319" s="355"/>
      <c r="DW319" s="354"/>
      <c r="DX319" s="355"/>
      <c r="DY319" s="354"/>
      <c r="DZ319" s="355"/>
      <c r="EA319" s="354"/>
      <c r="EB319" s="355"/>
      <c r="EC319" s="354"/>
      <c r="ED319" s="355"/>
      <c r="EE319" s="354"/>
      <c r="EF319" s="355"/>
      <c r="EG319" s="354"/>
      <c r="EH319" s="355"/>
      <c r="EI319" s="354"/>
      <c r="EJ319" s="355"/>
      <c r="EK319" s="354"/>
      <c r="EL319" s="355"/>
      <c r="EM319" s="354"/>
      <c r="EN319" s="355"/>
      <c r="EO319" s="354"/>
      <c r="EP319" s="355"/>
      <c r="EQ319" s="354"/>
      <c r="ER319" s="355"/>
      <c r="ES319" s="354"/>
      <c r="ET319" s="355"/>
      <c r="EU319" s="354"/>
      <c r="EV319" s="355"/>
      <c r="EW319" s="354"/>
      <c r="EX319" s="355"/>
      <c r="EY319" s="354"/>
      <c r="EZ319" s="355"/>
      <c r="FA319" s="354"/>
      <c r="FB319" s="355"/>
      <c r="FC319" s="354"/>
      <c r="FD319" s="355"/>
      <c r="FE319" s="354"/>
      <c r="FF319" s="355"/>
      <c r="FG319" s="354"/>
      <c r="FH319" s="355"/>
      <c r="FI319" s="354"/>
      <c r="FJ319" s="355"/>
      <c r="FK319" s="354"/>
      <c r="FL319" s="355"/>
      <c r="FM319" s="354"/>
      <c r="FN319" s="355"/>
      <c r="FO319" s="354"/>
      <c r="FP319" s="355"/>
      <c r="FQ319" s="354"/>
      <c r="FR319" s="355"/>
      <c r="FS319" s="354"/>
      <c r="FT319" s="355"/>
      <c r="FU319" s="354"/>
      <c r="FV319" s="355"/>
      <c r="FW319" s="354"/>
      <c r="FX319" s="355"/>
      <c r="FY319" s="354"/>
      <c r="FZ319" s="355"/>
      <c r="GA319" s="354"/>
      <c r="GB319" s="355"/>
      <c r="GC319" s="354"/>
      <c r="GD319" s="355"/>
      <c r="GE319" s="354"/>
      <c r="GF319" s="355"/>
      <c r="GG319" s="354"/>
      <c r="GH319" s="355"/>
      <c r="GI319" s="354"/>
      <c r="GJ319" s="355"/>
      <c r="GK319" s="354"/>
      <c r="GL319" s="355"/>
      <c r="GM319" s="354"/>
      <c r="GN319" s="355"/>
      <c r="GO319" s="354"/>
      <c r="GP319" s="355"/>
      <c r="GQ319" s="354"/>
      <c r="GR319" s="355"/>
      <c r="GS319" s="354"/>
      <c r="GT319" s="355"/>
      <c r="GU319" s="354"/>
      <c r="GV319" s="355"/>
      <c r="GW319" s="354"/>
      <c r="GX319" s="355"/>
    </row>
    <row r="320" spans="1:206" ht="24" thickTop="1" x14ac:dyDescent="0.5">
      <c r="A320" s="364"/>
      <c r="B320" s="365"/>
      <c r="C320" s="365"/>
      <c r="D320" s="366"/>
      <c r="E320" s="365"/>
      <c r="F320" s="366"/>
      <c r="G320" s="336"/>
      <c r="H320" s="336"/>
      <c r="I320" s="336"/>
      <c r="J320" s="336"/>
      <c r="K320" s="336"/>
      <c r="L320" s="336"/>
    </row>
    <row r="321" spans="1:12" ht="23.25" x14ac:dyDescent="0.5">
      <c r="A321" s="367" t="s">
        <v>409</v>
      </c>
      <c r="B321" s="368"/>
      <c r="C321" s="319"/>
      <c r="D321" s="369" t="s">
        <v>410</v>
      </c>
      <c r="E321" s="336"/>
      <c r="F321" s="337"/>
      <c r="G321" s="324"/>
      <c r="H321" s="336"/>
      <c r="I321" s="336"/>
      <c r="J321" s="369"/>
      <c r="K321" s="336"/>
      <c r="L321" s="336"/>
    </row>
    <row r="322" spans="1:12" ht="23.25" x14ac:dyDescent="0.5">
      <c r="A322" s="335" t="s">
        <v>500</v>
      </c>
      <c r="B322" s="336"/>
      <c r="C322" s="336"/>
      <c r="D322" s="335" t="s">
        <v>501</v>
      </c>
      <c r="E322" s="336"/>
      <c r="F322" s="337"/>
      <c r="G322" s="336"/>
      <c r="H322" s="336"/>
      <c r="I322" s="336"/>
      <c r="J322" s="336"/>
      <c r="K322" s="336"/>
      <c r="L322" s="336"/>
    </row>
    <row r="323" spans="1:12" ht="23.25" x14ac:dyDescent="0.5">
      <c r="A323" s="335" t="s">
        <v>502</v>
      </c>
      <c r="B323" s="336"/>
      <c r="C323" s="337"/>
      <c r="D323" s="335" t="s">
        <v>502</v>
      </c>
      <c r="E323" s="336"/>
      <c r="F323" s="337"/>
      <c r="G323" s="336"/>
      <c r="H323" s="336"/>
      <c r="I323" s="336"/>
      <c r="J323" s="336"/>
      <c r="K323" s="336"/>
      <c r="L323" s="336"/>
    </row>
    <row r="324" spans="1:12" ht="23.25" x14ac:dyDescent="0.5">
      <c r="A324" s="335" t="s">
        <v>411</v>
      </c>
      <c r="B324" s="336"/>
      <c r="C324" s="337"/>
      <c r="D324" s="335" t="s">
        <v>411</v>
      </c>
      <c r="E324" s="336"/>
      <c r="F324" s="337"/>
      <c r="G324" s="336"/>
      <c r="H324" s="336"/>
      <c r="I324" s="336"/>
      <c r="J324" s="336"/>
      <c r="K324" s="336"/>
      <c r="L324" s="336"/>
    </row>
    <row r="325" spans="1:12" ht="23.25" x14ac:dyDescent="0.5">
      <c r="A325" s="335" t="s">
        <v>718</v>
      </c>
      <c r="B325" s="336"/>
      <c r="C325" s="336"/>
      <c r="D325" s="335" t="s">
        <v>718</v>
      </c>
      <c r="E325" s="336"/>
      <c r="F325" s="337"/>
      <c r="G325" s="336"/>
      <c r="H325" s="336"/>
      <c r="I325" s="336"/>
      <c r="J325" s="336"/>
      <c r="K325" s="336"/>
      <c r="L325" s="336"/>
    </row>
    <row r="326" spans="1:12" ht="23.25" x14ac:dyDescent="0.5">
      <c r="A326" s="364"/>
      <c r="B326" s="365"/>
      <c r="C326" s="370"/>
      <c r="D326" s="365"/>
      <c r="E326" s="365"/>
      <c r="F326" s="366"/>
      <c r="G326" s="336"/>
      <c r="H326" s="336"/>
      <c r="I326" s="373"/>
      <c r="J326" s="336"/>
      <c r="K326" s="336"/>
      <c r="L326" s="336"/>
    </row>
    <row r="332" spans="1:12" ht="29.25" x14ac:dyDescent="0.6">
      <c r="A332" s="314" t="s">
        <v>398</v>
      </c>
      <c r="B332" s="315"/>
      <c r="C332" s="316"/>
      <c r="D332" s="317"/>
      <c r="E332" s="318" t="s">
        <v>745</v>
      </c>
      <c r="F332" s="319"/>
    </row>
    <row r="333" spans="1:12" ht="29.25" x14ac:dyDescent="0.6">
      <c r="A333" s="320" t="s">
        <v>400</v>
      </c>
      <c r="B333" s="321"/>
      <c r="C333" s="322"/>
      <c r="D333" s="323"/>
      <c r="E333" s="324" t="s">
        <v>746</v>
      </c>
      <c r="F333" s="325"/>
    </row>
    <row r="334" spans="1:12" ht="29.25" x14ac:dyDescent="0.6">
      <c r="A334" s="326"/>
      <c r="B334" s="327"/>
      <c r="C334" s="328"/>
      <c r="D334" s="329"/>
      <c r="E334" s="330" t="s">
        <v>13</v>
      </c>
      <c r="F334" s="331"/>
    </row>
    <row r="335" spans="1:12" ht="21" x14ac:dyDescent="0.45">
      <c r="A335" s="332"/>
      <c r="B335" s="317"/>
      <c r="C335" s="317"/>
      <c r="D335" s="333"/>
      <c r="E335" s="334" t="s">
        <v>402</v>
      </c>
      <c r="F335" s="333" t="s">
        <v>9</v>
      </c>
    </row>
    <row r="336" spans="1:12" ht="23.25" x14ac:dyDescent="0.5">
      <c r="A336" s="335" t="s">
        <v>784</v>
      </c>
      <c r="B336" s="171"/>
      <c r="C336" s="336"/>
      <c r="D336" s="337"/>
      <c r="E336" s="338">
        <v>8811441.8200000003</v>
      </c>
      <c r="F336" s="337"/>
    </row>
    <row r="337" spans="1:8" ht="23.25" x14ac:dyDescent="0.5">
      <c r="A337" s="339" t="s">
        <v>403</v>
      </c>
      <c r="B337" s="171"/>
      <c r="C337" s="336"/>
      <c r="D337" s="337"/>
      <c r="E337" s="338">
        <v>0</v>
      </c>
      <c r="F337" s="337"/>
      <c r="H337">
        <v>11</v>
      </c>
    </row>
    <row r="338" spans="1:8" ht="23.25" x14ac:dyDescent="0.5">
      <c r="A338" s="340" t="s">
        <v>404</v>
      </c>
      <c r="B338" s="336"/>
      <c r="C338" s="336"/>
      <c r="D338" s="341"/>
      <c r="E338" s="336"/>
      <c r="F338" s="337"/>
    </row>
    <row r="339" spans="1:8" ht="23.25" x14ac:dyDescent="0.5">
      <c r="A339" s="610"/>
      <c r="B339" s="342"/>
      <c r="C339" s="342"/>
      <c r="D339" s="343"/>
      <c r="E339" s="336"/>
      <c r="F339" s="337"/>
    </row>
    <row r="340" spans="1:8" ht="23.25" x14ac:dyDescent="0.5">
      <c r="A340" s="344" t="s">
        <v>405</v>
      </c>
      <c r="B340" s="342" t="s">
        <v>406</v>
      </c>
      <c r="C340" s="342"/>
      <c r="D340" s="343" t="s">
        <v>402</v>
      </c>
      <c r="E340" s="336"/>
      <c r="F340" s="337"/>
    </row>
    <row r="341" spans="1:8" ht="23.25" x14ac:dyDescent="0.5">
      <c r="A341" s="635" t="s">
        <v>785</v>
      </c>
      <c r="B341" s="346">
        <v>10035284</v>
      </c>
      <c r="C341" s="346"/>
      <c r="D341" s="636">
        <v>7865.79</v>
      </c>
      <c r="E341" s="630"/>
      <c r="F341" s="337"/>
    </row>
    <row r="342" spans="1:8" ht="23.25" x14ac:dyDescent="0.5">
      <c r="A342" s="345"/>
      <c r="B342" s="346"/>
      <c r="C342" s="347"/>
      <c r="D342" s="348"/>
      <c r="E342" s="336"/>
      <c r="F342" s="337"/>
    </row>
    <row r="343" spans="1:8" ht="23.25" x14ac:dyDescent="0.5">
      <c r="A343" s="345"/>
      <c r="B343" s="346"/>
      <c r="C343" s="342"/>
      <c r="D343" s="348"/>
      <c r="E343" s="353"/>
      <c r="F343" s="337"/>
    </row>
    <row r="344" spans="1:8" ht="24" thickBot="1" x14ac:dyDescent="0.55000000000000004">
      <c r="A344" s="345"/>
      <c r="B344" s="346"/>
      <c r="C344" s="356" t="s">
        <v>151</v>
      </c>
      <c r="D344" s="620">
        <f>SUM(D341:D343)</f>
        <v>7865.79</v>
      </c>
      <c r="E344" s="631">
        <f>+D344</f>
        <v>7865.79</v>
      </c>
      <c r="F344" s="337"/>
    </row>
    <row r="345" spans="1:8" ht="24" thickTop="1" x14ac:dyDescent="0.5">
      <c r="A345" s="357" t="s">
        <v>407</v>
      </c>
      <c r="B345" s="336"/>
      <c r="C345" s="336"/>
      <c r="D345" s="358"/>
      <c r="E345" s="354"/>
      <c r="F345" s="337"/>
    </row>
    <row r="346" spans="1:8" ht="23.25" x14ac:dyDescent="0.5">
      <c r="A346" s="357"/>
      <c r="B346" s="336"/>
      <c r="C346" s="336"/>
      <c r="D346" s="358"/>
      <c r="E346" s="632"/>
      <c r="F346" s="337"/>
    </row>
    <row r="347" spans="1:8" ht="23.25" x14ac:dyDescent="0.5">
      <c r="A347" s="357"/>
      <c r="B347" s="336"/>
      <c r="C347" s="336"/>
      <c r="D347" s="358"/>
      <c r="E347" s="632"/>
      <c r="F347" s="337"/>
    </row>
    <row r="348" spans="1:8" ht="23.25" x14ac:dyDescent="0.5">
      <c r="A348" s="357"/>
      <c r="B348" s="336"/>
      <c r="C348" s="336"/>
      <c r="D348" s="358"/>
      <c r="E348" s="633"/>
      <c r="F348" s="337"/>
    </row>
    <row r="349" spans="1:8" ht="23.25" x14ac:dyDescent="0.5">
      <c r="A349" s="357" t="s">
        <v>752</v>
      </c>
      <c r="B349" s="336"/>
      <c r="C349" s="336"/>
      <c r="D349" s="358"/>
      <c r="E349" s="633">
        <v>0.01</v>
      </c>
      <c r="F349" s="337"/>
    </row>
    <row r="350" spans="1:8" ht="23.25" x14ac:dyDescent="0.5">
      <c r="A350" s="357"/>
      <c r="B350" s="336"/>
      <c r="C350" s="336"/>
      <c r="D350" s="358"/>
      <c r="E350" s="632"/>
      <c r="F350" s="337"/>
    </row>
    <row r="351" spans="1:8" ht="23.25" x14ac:dyDescent="0.5">
      <c r="A351" s="357"/>
      <c r="B351" s="336"/>
      <c r="C351" s="336"/>
      <c r="D351" s="358"/>
      <c r="E351" s="632"/>
      <c r="F351" s="337"/>
    </row>
    <row r="352" spans="1:8" ht="23.25" x14ac:dyDescent="0.5">
      <c r="A352" s="357"/>
      <c r="B352" s="336"/>
      <c r="C352" s="336"/>
      <c r="D352" s="358"/>
      <c r="E352" s="633"/>
      <c r="F352" s="337"/>
    </row>
    <row r="353" spans="1:206" ht="23.25" x14ac:dyDescent="0.5">
      <c r="A353" s="359"/>
      <c r="B353" s="336"/>
      <c r="C353" s="336"/>
      <c r="D353" s="360"/>
      <c r="E353" s="335"/>
      <c r="F353" s="337"/>
    </row>
    <row r="354" spans="1:206" ht="23.25" x14ac:dyDescent="0.5">
      <c r="A354" s="340" t="s">
        <v>408</v>
      </c>
      <c r="B354" s="336"/>
      <c r="C354" s="336"/>
      <c r="D354" s="337"/>
      <c r="E354" s="633"/>
      <c r="F354" s="337"/>
    </row>
    <row r="355" spans="1:206" ht="23.25" x14ac:dyDescent="0.5">
      <c r="A355" s="893"/>
      <c r="B355" s="894"/>
      <c r="C355" s="894"/>
      <c r="D355" s="895"/>
      <c r="E355" s="361"/>
      <c r="F355" s="634"/>
    </row>
    <row r="356" spans="1:206" ht="24" thickBot="1" x14ac:dyDescent="0.55000000000000004">
      <c r="A356" s="359" t="s">
        <v>786</v>
      </c>
      <c r="B356" s="324"/>
      <c r="C356" s="371"/>
      <c r="D356" s="355"/>
      <c r="E356" s="362">
        <f>+E336-E344+E349+E349+E350+E351+E352</f>
        <v>8803576.0500000007</v>
      </c>
      <c r="F356" s="363"/>
      <c r="G356" s="324"/>
      <c r="H356" s="324"/>
      <c r="I356" s="371"/>
      <c r="J356" s="355"/>
      <c r="K356" s="372"/>
      <c r="L356" s="355"/>
      <c r="AF356" s="355"/>
      <c r="AG356" s="354"/>
      <c r="AH356" s="355"/>
      <c r="AI356" s="354"/>
      <c r="AJ356" s="355"/>
      <c r="AK356" s="354"/>
      <c r="AL356" s="355"/>
      <c r="AM356" s="354"/>
      <c r="AN356" s="355"/>
      <c r="AO356" s="354"/>
      <c r="AP356" s="355"/>
      <c r="AQ356" s="354"/>
      <c r="AR356" s="355"/>
      <c r="AS356" s="354"/>
      <c r="AT356" s="355"/>
      <c r="AU356" s="354"/>
      <c r="AV356" s="355"/>
      <c r="AW356" s="354"/>
      <c r="AX356" s="355"/>
      <c r="AY356" s="354"/>
      <c r="AZ356" s="355"/>
      <c r="BA356" s="354"/>
      <c r="BB356" s="355"/>
      <c r="BC356" s="354"/>
      <c r="BD356" s="355"/>
      <c r="BE356" s="354"/>
      <c r="BF356" s="355"/>
      <c r="BG356" s="354"/>
      <c r="BH356" s="355"/>
      <c r="BI356" s="354"/>
      <c r="BJ356" s="355"/>
      <c r="BK356" s="354"/>
      <c r="BL356" s="355"/>
      <c r="BM356" s="354"/>
      <c r="BN356" s="355"/>
      <c r="BO356" s="354"/>
      <c r="BP356" s="355"/>
      <c r="BQ356" s="354"/>
      <c r="BR356" s="355"/>
      <c r="BS356" s="354"/>
      <c r="BT356" s="355"/>
      <c r="BU356" s="354"/>
      <c r="BV356" s="355"/>
      <c r="BW356" s="354"/>
      <c r="BX356" s="355"/>
      <c r="BY356" s="354"/>
      <c r="BZ356" s="355"/>
      <c r="CA356" s="354"/>
      <c r="CB356" s="355"/>
      <c r="CC356" s="354"/>
      <c r="CD356" s="355"/>
      <c r="CE356" s="354"/>
      <c r="CF356" s="355"/>
      <c r="CG356" s="354"/>
      <c r="CH356" s="355"/>
      <c r="CI356" s="354"/>
      <c r="CJ356" s="355"/>
      <c r="CK356" s="354"/>
      <c r="CL356" s="355"/>
      <c r="CM356" s="354"/>
      <c r="CN356" s="355"/>
      <c r="CO356" s="354"/>
      <c r="CP356" s="355"/>
      <c r="CQ356" s="354"/>
      <c r="CR356" s="355"/>
      <c r="CS356" s="354"/>
      <c r="CT356" s="355"/>
      <c r="CU356" s="354"/>
      <c r="CV356" s="355"/>
      <c r="CW356" s="354"/>
      <c r="CX356" s="355"/>
      <c r="CY356" s="354"/>
      <c r="CZ356" s="355"/>
      <c r="DA356" s="354"/>
      <c r="DB356" s="355"/>
      <c r="DC356" s="354"/>
      <c r="DD356" s="355"/>
      <c r="DE356" s="354"/>
      <c r="DF356" s="355"/>
      <c r="DG356" s="354"/>
      <c r="DH356" s="355"/>
      <c r="DI356" s="354"/>
      <c r="DJ356" s="355"/>
      <c r="DK356" s="354"/>
      <c r="DL356" s="355"/>
      <c r="DM356" s="354"/>
      <c r="DN356" s="355"/>
      <c r="DO356" s="354"/>
      <c r="DP356" s="355"/>
      <c r="DQ356" s="354"/>
      <c r="DR356" s="355"/>
      <c r="DS356" s="354"/>
      <c r="DT356" s="355"/>
      <c r="DU356" s="354"/>
      <c r="DV356" s="355"/>
      <c r="DW356" s="354"/>
      <c r="DX356" s="355"/>
      <c r="DY356" s="354"/>
      <c r="DZ356" s="355"/>
      <c r="EA356" s="354"/>
      <c r="EB356" s="355"/>
      <c r="EC356" s="354"/>
      <c r="ED356" s="355"/>
      <c r="EE356" s="354"/>
      <c r="EF356" s="355"/>
      <c r="EG356" s="354"/>
      <c r="EH356" s="355"/>
      <c r="EI356" s="354"/>
      <c r="EJ356" s="355"/>
      <c r="EK356" s="354"/>
      <c r="EL356" s="355"/>
      <c r="EM356" s="354"/>
      <c r="EN356" s="355"/>
      <c r="EO356" s="354"/>
      <c r="EP356" s="355"/>
      <c r="EQ356" s="354"/>
      <c r="ER356" s="355"/>
      <c r="ES356" s="354"/>
      <c r="ET356" s="355"/>
      <c r="EU356" s="354"/>
      <c r="EV356" s="355"/>
      <c r="EW356" s="354"/>
      <c r="EX356" s="355"/>
      <c r="EY356" s="354"/>
      <c r="EZ356" s="355"/>
      <c r="FA356" s="354"/>
      <c r="FB356" s="355"/>
      <c r="FC356" s="354"/>
      <c r="FD356" s="355"/>
      <c r="FE356" s="354"/>
      <c r="FF356" s="355"/>
      <c r="FG356" s="354"/>
      <c r="FH356" s="355"/>
      <c r="FI356" s="354"/>
      <c r="FJ356" s="355"/>
      <c r="FK356" s="354"/>
      <c r="FL356" s="355"/>
      <c r="FM356" s="354"/>
      <c r="FN356" s="355"/>
      <c r="FO356" s="354"/>
      <c r="FP356" s="355"/>
      <c r="FQ356" s="354"/>
      <c r="FR356" s="355"/>
      <c r="FS356" s="354"/>
      <c r="FT356" s="355"/>
      <c r="FU356" s="354"/>
      <c r="FV356" s="355"/>
      <c r="FW356" s="354"/>
      <c r="FX356" s="355"/>
      <c r="FY356" s="354"/>
      <c r="FZ356" s="355"/>
      <c r="GA356" s="354"/>
      <c r="GB356" s="355"/>
      <c r="GC356" s="354"/>
      <c r="GD356" s="355"/>
      <c r="GE356" s="354"/>
      <c r="GF356" s="355"/>
      <c r="GG356" s="354"/>
      <c r="GH356" s="355"/>
      <c r="GI356" s="354"/>
      <c r="GJ356" s="355"/>
      <c r="GK356" s="354"/>
      <c r="GL356" s="355"/>
      <c r="GM356" s="354"/>
      <c r="GN356" s="355"/>
      <c r="GO356" s="354"/>
      <c r="GP356" s="355"/>
      <c r="GQ356" s="354"/>
      <c r="GR356" s="355"/>
      <c r="GS356" s="354"/>
      <c r="GT356" s="355"/>
      <c r="GU356" s="354"/>
      <c r="GV356" s="355"/>
      <c r="GW356" s="354"/>
      <c r="GX356" s="355"/>
    </row>
    <row r="357" spans="1:206" ht="24" thickTop="1" x14ac:dyDescent="0.5">
      <c r="A357" s="364"/>
      <c r="B357" s="365"/>
      <c r="C357" s="365"/>
      <c r="D357" s="366"/>
      <c r="E357" s="365"/>
      <c r="F357" s="366"/>
      <c r="G357" s="336"/>
      <c r="H357" s="336"/>
      <c r="I357" s="336"/>
      <c r="J357" s="336"/>
      <c r="K357" s="336"/>
      <c r="L357" s="336"/>
    </row>
    <row r="358" spans="1:206" ht="23.25" x14ac:dyDescent="0.5">
      <c r="A358" s="367" t="s">
        <v>409</v>
      </c>
      <c r="B358" s="368"/>
      <c r="C358" s="319"/>
      <c r="D358" s="369" t="s">
        <v>410</v>
      </c>
      <c r="E358" s="336"/>
      <c r="F358" s="337"/>
      <c r="G358" s="324"/>
      <c r="H358" s="336"/>
      <c r="I358" s="336"/>
      <c r="J358" s="369"/>
      <c r="K358" s="336"/>
      <c r="L358" s="336"/>
    </row>
    <row r="359" spans="1:206" ht="23.25" x14ac:dyDescent="0.5">
      <c r="A359" s="335" t="s">
        <v>500</v>
      </c>
      <c r="B359" s="336"/>
      <c r="C359" s="336"/>
      <c r="D359" s="335" t="s">
        <v>501</v>
      </c>
      <c r="E359" s="336"/>
      <c r="F359" s="337"/>
      <c r="G359" s="336"/>
      <c r="H359" s="336"/>
      <c r="I359" s="336"/>
      <c r="J359" s="336"/>
      <c r="K359" s="336"/>
      <c r="L359" s="336"/>
    </row>
    <row r="360" spans="1:206" ht="23.25" x14ac:dyDescent="0.5">
      <c r="A360" s="335" t="s">
        <v>502</v>
      </c>
      <c r="B360" s="336"/>
      <c r="C360" s="337"/>
      <c r="D360" s="335" t="s">
        <v>502</v>
      </c>
      <c r="E360" s="336"/>
      <c r="F360" s="337"/>
      <c r="G360" s="336"/>
      <c r="H360" s="336"/>
      <c r="I360" s="336"/>
      <c r="J360" s="336"/>
      <c r="K360" s="336"/>
      <c r="L360" s="336"/>
    </row>
    <row r="361" spans="1:206" ht="23.25" x14ac:dyDescent="0.5">
      <c r="A361" s="335" t="s">
        <v>411</v>
      </c>
      <c r="B361" s="336"/>
      <c r="C361" s="337"/>
      <c r="D361" s="335" t="s">
        <v>411</v>
      </c>
      <c r="E361" s="336"/>
      <c r="F361" s="337"/>
      <c r="G361" s="336"/>
      <c r="H361" s="336"/>
      <c r="I361" s="336"/>
      <c r="J361" s="336"/>
      <c r="K361" s="336"/>
      <c r="L361" s="336"/>
    </row>
    <row r="362" spans="1:206" ht="23.25" x14ac:dyDescent="0.5">
      <c r="A362" s="335" t="s">
        <v>734</v>
      </c>
      <c r="B362" s="336"/>
      <c r="C362" s="336"/>
      <c r="D362" s="335" t="s">
        <v>787</v>
      </c>
      <c r="E362" s="336"/>
      <c r="F362" s="337"/>
      <c r="G362" s="336"/>
      <c r="H362" s="336"/>
      <c r="I362" s="336"/>
      <c r="J362" s="336"/>
      <c r="K362" s="336"/>
      <c r="L362" s="336"/>
    </row>
    <row r="363" spans="1:206" ht="23.25" x14ac:dyDescent="0.5">
      <c r="A363" s="364"/>
      <c r="B363" s="365"/>
      <c r="C363" s="370"/>
      <c r="D363" s="365"/>
      <c r="E363" s="365"/>
      <c r="F363" s="366"/>
      <c r="G363" s="336"/>
      <c r="H363" s="336"/>
      <c r="I363" s="373"/>
      <c r="J363" s="336"/>
      <c r="K363" s="336"/>
      <c r="L363" s="336"/>
    </row>
    <row r="364" spans="1:206" ht="29.25" x14ac:dyDescent="0.6">
      <c r="A364" s="314" t="s">
        <v>398</v>
      </c>
      <c r="B364" s="315"/>
      <c r="C364" s="316"/>
      <c r="D364" s="317"/>
      <c r="E364" s="318" t="s">
        <v>745</v>
      </c>
      <c r="F364" s="319"/>
    </row>
    <row r="365" spans="1:206" ht="29.25" x14ac:dyDescent="0.6">
      <c r="A365" s="320" t="s">
        <v>400</v>
      </c>
      <c r="B365" s="321"/>
      <c r="C365" s="322"/>
      <c r="D365" s="323"/>
      <c r="E365" s="324" t="s">
        <v>746</v>
      </c>
      <c r="F365" s="325"/>
    </row>
    <row r="366" spans="1:206" ht="29.25" x14ac:dyDescent="0.6">
      <c r="A366" s="326"/>
      <c r="B366" s="327"/>
      <c r="C366" s="328"/>
      <c r="D366" s="329"/>
      <c r="E366" s="330" t="s">
        <v>13</v>
      </c>
      <c r="F366" s="331"/>
    </row>
    <row r="367" spans="1:206" ht="21" x14ac:dyDescent="0.45">
      <c r="A367" s="332"/>
      <c r="B367" s="317"/>
      <c r="C367" s="317"/>
      <c r="D367" s="333"/>
      <c r="E367" s="334" t="s">
        <v>402</v>
      </c>
      <c r="F367" s="333" t="s">
        <v>9</v>
      </c>
    </row>
    <row r="368" spans="1:206" ht="23.25" x14ac:dyDescent="0.5">
      <c r="A368" s="335" t="s">
        <v>788</v>
      </c>
      <c r="B368" s="171"/>
      <c r="C368" s="336"/>
      <c r="D368" s="337"/>
      <c r="E368" s="338">
        <v>8304820.5800000001</v>
      </c>
      <c r="F368" s="337"/>
    </row>
    <row r="369" spans="1:8" ht="23.25" x14ac:dyDescent="0.5">
      <c r="A369" s="339" t="s">
        <v>403</v>
      </c>
      <c r="B369" s="171"/>
      <c r="C369" s="336"/>
      <c r="D369" s="337"/>
      <c r="E369" s="338">
        <v>0</v>
      </c>
      <c r="F369" s="337"/>
      <c r="H369">
        <v>12</v>
      </c>
    </row>
    <row r="370" spans="1:8" ht="23.25" x14ac:dyDescent="0.5">
      <c r="A370" s="340" t="s">
        <v>404</v>
      </c>
      <c r="B370" s="336"/>
      <c r="C370" s="336"/>
      <c r="D370" s="341"/>
      <c r="E370" s="336"/>
      <c r="F370" s="337"/>
    </row>
    <row r="371" spans="1:8" ht="23.25" x14ac:dyDescent="0.5">
      <c r="A371" s="610"/>
      <c r="B371" s="342"/>
      <c r="C371" s="342"/>
      <c r="D371" s="343"/>
      <c r="E371" s="336"/>
      <c r="F371" s="337"/>
    </row>
    <row r="372" spans="1:8" ht="23.25" x14ac:dyDescent="0.5">
      <c r="A372" s="344" t="s">
        <v>405</v>
      </c>
      <c r="B372" s="342" t="s">
        <v>406</v>
      </c>
      <c r="C372" s="342"/>
      <c r="D372" s="343" t="s">
        <v>402</v>
      </c>
      <c r="E372" s="336"/>
      <c r="F372" s="337"/>
    </row>
    <row r="373" spans="1:8" ht="23.25" x14ac:dyDescent="0.5">
      <c r="A373" s="637">
        <v>21820</v>
      </c>
      <c r="B373" s="346">
        <v>10035290</v>
      </c>
      <c r="C373" s="346"/>
      <c r="D373" s="636">
        <v>204174</v>
      </c>
      <c r="E373" s="630"/>
      <c r="F373" s="337"/>
    </row>
    <row r="374" spans="1:8" ht="23.25" x14ac:dyDescent="0.5">
      <c r="A374" s="345" t="s">
        <v>740</v>
      </c>
      <c r="B374" s="346">
        <v>10035291</v>
      </c>
      <c r="C374" s="347"/>
      <c r="D374" s="348">
        <v>8899.34</v>
      </c>
      <c r="E374" s="336"/>
      <c r="F374" s="337"/>
    </row>
    <row r="375" spans="1:8" ht="23.25" x14ac:dyDescent="0.5">
      <c r="A375" s="345"/>
      <c r="B375" s="346"/>
      <c r="C375" s="342"/>
      <c r="D375" s="348"/>
      <c r="E375" s="353"/>
      <c r="F375" s="337"/>
    </row>
    <row r="376" spans="1:8" ht="24" thickBot="1" x14ac:dyDescent="0.55000000000000004">
      <c r="A376" s="345"/>
      <c r="B376" s="346"/>
      <c r="C376" s="356" t="s">
        <v>151</v>
      </c>
      <c r="D376" s="620">
        <f>SUM(D373:D375)</f>
        <v>213073.34</v>
      </c>
      <c r="E376" s="631">
        <f>+D376</f>
        <v>213073.34</v>
      </c>
      <c r="F376" s="337"/>
    </row>
    <row r="377" spans="1:8" ht="24" thickTop="1" x14ac:dyDescent="0.5">
      <c r="A377" s="357" t="s">
        <v>407</v>
      </c>
      <c r="B377" s="336"/>
      <c r="C377" s="336"/>
      <c r="D377" s="358"/>
      <c r="E377" s="354"/>
      <c r="F377" s="337"/>
    </row>
    <row r="378" spans="1:8" ht="23.25" x14ac:dyDescent="0.5">
      <c r="A378" s="357"/>
      <c r="B378" s="336"/>
      <c r="C378" s="336"/>
      <c r="D378" s="358"/>
      <c r="E378" s="632"/>
      <c r="F378" s="337"/>
    </row>
    <row r="379" spans="1:8" ht="23.25" x14ac:dyDescent="0.5">
      <c r="A379" s="357"/>
      <c r="B379" s="336"/>
      <c r="C379" s="336"/>
      <c r="D379" s="358"/>
      <c r="E379" s="632"/>
      <c r="F379" s="337"/>
    </row>
    <row r="380" spans="1:8" ht="23.25" x14ac:dyDescent="0.5">
      <c r="A380" s="357"/>
      <c r="B380" s="336"/>
      <c r="C380" s="336"/>
      <c r="D380" s="358"/>
      <c r="E380" s="633"/>
      <c r="F380" s="337"/>
    </row>
    <row r="381" spans="1:8" ht="23.25" x14ac:dyDescent="0.5">
      <c r="A381" s="357"/>
      <c r="B381" s="336"/>
      <c r="C381" s="336"/>
      <c r="D381" s="358"/>
      <c r="E381" s="633"/>
      <c r="F381" s="337"/>
    </row>
    <row r="382" spans="1:8" ht="23.25" x14ac:dyDescent="0.5">
      <c r="A382" s="357"/>
      <c r="B382" s="336"/>
      <c r="C382" s="336"/>
      <c r="D382" s="358"/>
      <c r="E382" s="632"/>
      <c r="F382" s="337"/>
    </row>
    <row r="383" spans="1:8" ht="23.25" x14ac:dyDescent="0.5">
      <c r="A383" s="357"/>
      <c r="B383" s="336"/>
      <c r="C383" s="336"/>
      <c r="D383" s="358"/>
      <c r="E383" s="632"/>
      <c r="F383" s="337"/>
    </row>
    <row r="384" spans="1:8" ht="23.25" x14ac:dyDescent="0.5">
      <c r="A384" s="357"/>
      <c r="B384" s="336"/>
      <c r="C384" s="336"/>
      <c r="D384" s="358"/>
      <c r="E384" s="633"/>
      <c r="F384" s="337"/>
    </row>
    <row r="385" spans="1:206" ht="23.25" x14ac:dyDescent="0.5">
      <c r="A385" s="359"/>
      <c r="B385" s="336"/>
      <c r="C385" s="336"/>
      <c r="D385" s="360"/>
      <c r="E385" s="335"/>
      <c r="F385" s="337"/>
    </row>
    <row r="386" spans="1:206" ht="23.25" x14ac:dyDescent="0.5">
      <c r="A386" s="340" t="s">
        <v>408</v>
      </c>
      <c r="B386" s="336"/>
      <c r="C386" s="336"/>
      <c r="D386" s="337"/>
      <c r="E386" s="633"/>
      <c r="F386" s="337"/>
    </row>
    <row r="387" spans="1:206" ht="23.25" x14ac:dyDescent="0.5">
      <c r="A387" s="893"/>
      <c r="B387" s="894"/>
      <c r="C387" s="894"/>
      <c r="D387" s="895"/>
      <c r="E387" s="361"/>
      <c r="F387" s="634"/>
    </row>
    <row r="388" spans="1:206" ht="24" thickBot="1" x14ac:dyDescent="0.55000000000000004">
      <c r="A388" s="359" t="s">
        <v>789</v>
      </c>
      <c r="B388" s="324"/>
      <c r="C388" s="371"/>
      <c r="D388" s="355"/>
      <c r="E388" s="362">
        <f>+E368-E376+E381+E381+E382+E383+E384</f>
        <v>8091747.2400000002</v>
      </c>
      <c r="F388" s="363"/>
      <c r="G388" s="324"/>
      <c r="H388" s="324"/>
      <c r="I388" s="371"/>
      <c r="J388" s="355"/>
      <c r="K388" s="372"/>
      <c r="L388" s="355"/>
      <c r="AF388" s="355"/>
      <c r="AG388" s="354"/>
      <c r="AH388" s="355"/>
      <c r="AI388" s="354"/>
      <c r="AJ388" s="355"/>
      <c r="AK388" s="354"/>
      <c r="AL388" s="355"/>
      <c r="AM388" s="354"/>
      <c r="AN388" s="355"/>
      <c r="AO388" s="354"/>
      <c r="AP388" s="355"/>
      <c r="AQ388" s="354"/>
      <c r="AR388" s="355"/>
      <c r="AS388" s="354"/>
      <c r="AT388" s="355"/>
      <c r="AU388" s="354"/>
      <c r="AV388" s="355"/>
      <c r="AW388" s="354"/>
      <c r="AX388" s="355"/>
      <c r="AY388" s="354"/>
      <c r="AZ388" s="355"/>
      <c r="BA388" s="354"/>
      <c r="BB388" s="355"/>
      <c r="BC388" s="354"/>
      <c r="BD388" s="355"/>
      <c r="BE388" s="354"/>
      <c r="BF388" s="355"/>
      <c r="BG388" s="354"/>
      <c r="BH388" s="355"/>
      <c r="BI388" s="354"/>
      <c r="BJ388" s="355"/>
      <c r="BK388" s="354"/>
      <c r="BL388" s="355"/>
      <c r="BM388" s="354"/>
      <c r="BN388" s="355"/>
      <c r="BO388" s="354"/>
      <c r="BP388" s="355"/>
      <c r="BQ388" s="354"/>
      <c r="BR388" s="355"/>
      <c r="BS388" s="354"/>
      <c r="BT388" s="355"/>
      <c r="BU388" s="354"/>
      <c r="BV388" s="355"/>
      <c r="BW388" s="354"/>
      <c r="BX388" s="355"/>
      <c r="BY388" s="354"/>
      <c r="BZ388" s="355"/>
      <c r="CA388" s="354"/>
      <c r="CB388" s="355"/>
      <c r="CC388" s="354"/>
      <c r="CD388" s="355"/>
      <c r="CE388" s="354"/>
      <c r="CF388" s="355"/>
      <c r="CG388" s="354"/>
      <c r="CH388" s="355"/>
      <c r="CI388" s="354"/>
      <c r="CJ388" s="355"/>
      <c r="CK388" s="354"/>
      <c r="CL388" s="355"/>
      <c r="CM388" s="354"/>
      <c r="CN388" s="355"/>
      <c r="CO388" s="354"/>
      <c r="CP388" s="355"/>
      <c r="CQ388" s="354"/>
      <c r="CR388" s="355"/>
      <c r="CS388" s="354"/>
      <c r="CT388" s="355"/>
      <c r="CU388" s="354"/>
      <c r="CV388" s="355"/>
      <c r="CW388" s="354"/>
      <c r="CX388" s="355"/>
      <c r="CY388" s="354"/>
      <c r="CZ388" s="355"/>
      <c r="DA388" s="354"/>
      <c r="DB388" s="355"/>
      <c r="DC388" s="354"/>
      <c r="DD388" s="355"/>
      <c r="DE388" s="354"/>
      <c r="DF388" s="355"/>
      <c r="DG388" s="354"/>
      <c r="DH388" s="355"/>
      <c r="DI388" s="354"/>
      <c r="DJ388" s="355"/>
      <c r="DK388" s="354"/>
      <c r="DL388" s="355"/>
      <c r="DM388" s="354"/>
      <c r="DN388" s="355"/>
      <c r="DO388" s="354"/>
      <c r="DP388" s="355"/>
      <c r="DQ388" s="354"/>
      <c r="DR388" s="355"/>
      <c r="DS388" s="354"/>
      <c r="DT388" s="355"/>
      <c r="DU388" s="354"/>
      <c r="DV388" s="355"/>
      <c r="DW388" s="354"/>
      <c r="DX388" s="355"/>
      <c r="DY388" s="354"/>
      <c r="DZ388" s="355"/>
      <c r="EA388" s="354"/>
      <c r="EB388" s="355"/>
      <c r="EC388" s="354"/>
      <c r="ED388" s="355"/>
      <c r="EE388" s="354"/>
      <c r="EF388" s="355"/>
      <c r="EG388" s="354"/>
      <c r="EH388" s="355"/>
      <c r="EI388" s="354"/>
      <c r="EJ388" s="355"/>
      <c r="EK388" s="354"/>
      <c r="EL388" s="355"/>
      <c r="EM388" s="354"/>
      <c r="EN388" s="355"/>
      <c r="EO388" s="354"/>
      <c r="EP388" s="355"/>
      <c r="EQ388" s="354"/>
      <c r="ER388" s="355"/>
      <c r="ES388" s="354"/>
      <c r="ET388" s="355"/>
      <c r="EU388" s="354"/>
      <c r="EV388" s="355"/>
      <c r="EW388" s="354"/>
      <c r="EX388" s="355"/>
      <c r="EY388" s="354"/>
      <c r="EZ388" s="355"/>
      <c r="FA388" s="354"/>
      <c r="FB388" s="355"/>
      <c r="FC388" s="354"/>
      <c r="FD388" s="355"/>
      <c r="FE388" s="354"/>
      <c r="FF388" s="355"/>
      <c r="FG388" s="354"/>
      <c r="FH388" s="355"/>
      <c r="FI388" s="354"/>
      <c r="FJ388" s="355"/>
      <c r="FK388" s="354"/>
      <c r="FL388" s="355"/>
      <c r="FM388" s="354"/>
      <c r="FN388" s="355"/>
      <c r="FO388" s="354"/>
      <c r="FP388" s="355"/>
      <c r="FQ388" s="354"/>
      <c r="FR388" s="355"/>
      <c r="FS388" s="354"/>
      <c r="FT388" s="355"/>
      <c r="FU388" s="354"/>
      <c r="FV388" s="355"/>
      <c r="FW388" s="354"/>
      <c r="FX388" s="355"/>
      <c r="FY388" s="354"/>
      <c r="FZ388" s="355"/>
      <c r="GA388" s="354"/>
      <c r="GB388" s="355"/>
      <c r="GC388" s="354"/>
      <c r="GD388" s="355"/>
      <c r="GE388" s="354"/>
      <c r="GF388" s="355"/>
      <c r="GG388" s="354"/>
      <c r="GH388" s="355"/>
      <c r="GI388" s="354"/>
      <c r="GJ388" s="355"/>
      <c r="GK388" s="354"/>
      <c r="GL388" s="355"/>
      <c r="GM388" s="354"/>
      <c r="GN388" s="355"/>
      <c r="GO388" s="354"/>
      <c r="GP388" s="355"/>
      <c r="GQ388" s="354"/>
      <c r="GR388" s="355"/>
      <c r="GS388" s="354"/>
      <c r="GT388" s="355"/>
      <c r="GU388" s="354"/>
      <c r="GV388" s="355"/>
      <c r="GW388" s="354"/>
      <c r="GX388" s="355"/>
    </row>
    <row r="389" spans="1:206" ht="24" thickTop="1" x14ac:dyDescent="0.5">
      <c r="A389" s="364"/>
      <c r="B389" s="365"/>
      <c r="C389" s="365"/>
      <c r="D389" s="366"/>
      <c r="E389" s="365"/>
      <c r="F389" s="366"/>
      <c r="G389" s="336"/>
      <c r="H389" s="336"/>
      <c r="I389" s="336"/>
      <c r="J389" s="336"/>
      <c r="K389" s="336"/>
      <c r="L389" s="336"/>
    </row>
    <row r="390" spans="1:206" ht="23.25" x14ac:dyDescent="0.5">
      <c r="A390" s="367" t="s">
        <v>409</v>
      </c>
      <c r="B390" s="368"/>
      <c r="C390" s="319"/>
      <c r="D390" s="369" t="s">
        <v>410</v>
      </c>
      <c r="E390" s="336"/>
      <c r="F390" s="337"/>
      <c r="G390" s="324"/>
      <c r="H390" s="336"/>
      <c r="I390" s="336"/>
      <c r="J390" s="369"/>
      <c r="K390" s="336"/>
      <c r="L390" s="336"/>
    </row>
    <row r="391" spans="1:206" ht="23.25" x14ac:dyDescent="0.5">
      <c r="A391" s="335" t="s">
        <v>500</v>
      </c>
      <c r="B391" s="336"/>
      <c r="C391" s="336"/>
      <c r="D391" s="335" t="s">
        <v>501</v>
      </c>
      <c r="E391" s="336"/>
      <c r="F391" s="337"/>
      <c r="G391" s="336"/>
      <c r="H391" s="336"/>
      <c r="I391" s="336"/>
      <c r="J391" s="336"/>
      <c r="K391" s="336"/>
      <c r="L391" s="336"/>
    </row>
    <row r="392" spans="1:206" ht="23.25" x14ac:dyDescent="0.5">
      <c r="A392" s="335" t="s">
        <v>502</v>
      </c>
      <c r="B392" s="336"/>
      <c r="C392" s="337"/>
      <c r="D392" s="335" t="s">
        <v>502</v>
      </c>
      <c r="E392" s="336"/>
      <c r="F392" s="337"/>
      <c r="G392" s="336"/>
      <c r="H392" s="336"/>
      <c r="I392" s="336"/>
      <c r="J392" s="336"/>
      <c r="K392" s="336"/>
      <c r="L392" s="336"/>
    </row>
    <row r="393" spans="1:206" ht="23.25" x14ac:dyDescent="0.5">
      <c r="A393" s="335" t="s">
        <v>411</v>
      </c>
      <c r="B393" s="336"/>
      <c r="C393" s="337"/>
      <c r="D393" s="335" t="s">
        <v>411</v>
      </c>
      <c r="E393" s="336"/>
      <c r="F393" s="337"/>
      <c r="G393" s="336"/>
      <c r="H393" s="336"/>
      <c r="I393" s="336"/>
      <c r="J393" s="336"/>
      <c r="K393" s="336"/>
      <c r="L393" s="336"/>
    </row>
    <row r="394" spans="1:206" ht="23.25" x14ac:dyDescent="0.5">
      <c r="A394" s="335" t="s">
        <v>790</v>
      </c>
      <c r="B394" s="336"/>
      <c r="C394" s="336"/>
      <c r="D394" s="335" t="s">
        <v>791</v>
      </c>
      <c r="E394" s="336"/>
      <c r="F394" s="337"/>
      <c r="G394" s="336"/>
      <c r="H394" s="336"/>
      <c r="I394" s="336"/>
      <c r="J394" s="336"/>
      <c r="K394" s="336"/>
      <c r="L394" s="336"/>
    </row>
    <row r="395" spans="1:206" ht="23.25" x14ac:dyDescent="0.5">
      <c r="A395" s="364"/>
      <c r="B395" s="365"/>
      <c r="C395" s="370"/>
      <c r="D395" s="365"/>
      <c r="E395" s="365"/>
      <c r="F395" s="366"/>
      <c r="G395" s="336"/>
      <c r="H395" s="336"/>
      <c r="I395" s="373"/>
      <c r="J395" s="336"/>
      <c r="K395" s="336"/>
      <c r="L395" s="336"/>
    </row>
  </sheetData>
  <mergeCells count="12">
    <mergeCell ref="A387:D387"/>
    <mergeCell ref="A22:D22"/>
    <mergeCell ref="A55:D55"/>
    <mergeCell ref="A88:D88"/>
    <mergeCell ref="A121:D121"/>
    <mergeCell ref="A154:D154"/>
    <mergeCell ref="A187:D187"/>
    <mergeCell ref="A220:D220"/>
    <mergeCell ref="A253:D253"/>
    <mergeCell ref="A286:D286"/>
    <mergeCell ref="A318:D318"/>
    <mergeCell ref="A355:D355"/>
  </mergeCells>
  <pageMargins left="0.64" right="0.24" top="0.34" bottom="0.41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3"/>
  <sheetViews>
    <sheetView view="pageBreakPreview" topLeftCell="A159" zoomScale="140" zoomScaleNormal="140" zoomScaleSheetLayoutView="140" workbookViewId="0">
      <selection activeCell="D163" sqref="D163"/>
    </sheetView>
  </sheetViews>
  <sheetFormatPr defaultRowHeight="14.25" x14ac:dyDescent="0.2"/>
  <cols>
    <col min="1" max="1" width="34.375" customWidth="1"/>
    <col min="2" max="2" width="3.75" customWidth="1"/>
    <col min="3" max="3" width="7.75" customWidth="1"/>
    <col min="4" max="4" width="7" customWidth="1"/>
    <col min="5" max="5" width="8" customWidth="1"/>
    <col min="6" max="6" width="9.375" customWidth="1"/>
    <col min="7" max="7" width="7.625" customWidth="1"/>
    <col min="8" max="8" width="6.75" customWidth="1"/>
    <col min="9" max="9" width="8.125" customWidth="1"/>
    <col min="10" max="10" width="8.625" customWidth="1"/>
    <col min="11" max="11" width="9.625" customWidth="1"/>
    <col min="12" max="12" width="8.25" customWidth="1"/>
    <col min="13" max="13" width="9.25" customWidth="1"/>
    <col min="14" max="14" width="6.75" customWidth="1"/>
    <col min="15" max="15" width="7.125" customWidth="1"/>
    <col min="16" max="16" width="7.875" customWidth="1"/>
    <col min="17" max="17" width="7.125" customWidth="1"/>
    <col min="18" max="18" width="7" customWidth="1"/>
    <col min="19" max="19" width="7.5" customWidth="1"/>
    <col min="20" max="20" width="7.875" customWidth="1"/>
    <col min="21" max="21" width="7.125" customWidth="1"/>
    <col min="22" max="22" width="6.75" customWidth="1"/>
    <col min="23" max="23" width="6.25" customWidth="1"/>
    <col min="24" max="24" width="6.5" customWidth="1"/>
  </cols>
  <sheetData>
    <row r="1" spans="1:24" s="100" customFormat="1" ht="23.25" x14ac:dyDescent="0.5">
      <c r="A1" s="904" t="s">
        <v>76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</row>
    <row r="2" spans="1:24" s="100" customFormat="1" ht="23.25" x14ac:dyDescent="0.5">
      <c r="A2" s="904" t="s">
        <v>332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</row>
    <row r="3" spans="1:24" s="100" customFormat="1" ht="23.25" x14ac:dyDescent="0.5">
      <c r="A3" s="904" t="s">
        <v>549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</row>
    <row r="4" spans="1:24" ht="18" x14ac:dyDescent="0.4">
      <c r="A4" s="101"/>
      <c r="B4" s="102"/>
      <c r="C4" s="468"/>
      <c r="D4" s="103" t="s">
        <v>41</v>
      </c>
      <c r="E4" s="905" t="s">
        <v>110</v>
      </c>
      <c r="F4" s="906"/>
      <c r="G4" s="907" t="s">
        <v>111</v>
      </c>
      <c r="H4" s="908"/>
      <c r="I4" s="909" t="s">
        <v>112</v>
      </c>
      <c r="J4" s="910"/>
      <c r="K4" s="911" t="s">
        <v>113</v>
      </c>
      <c r="L4" s="912"/>
      <c r="M4" s="216" t="s">
        <v>113</v>
      </c>
      <c r="N4" s="907" t="s">
        <v>113</v>
      </c>
      <c r="O4" s="910"/>
      <c r="P4" s="909" t="s">
        <v>114</v>
      </c>
      <c r="Q4" s="905"/>
      <c r="R4" s="909" t="s">
        <v>115</v>
      </c>
      <c r="S4" s="905"/>
      <c r="T4" s="906"/>
      <c r="U4" s="909" t="s">
        <v>116</v>
      </c>
      <c r="V4" s="910"/>
      <c r="W4" s="216" t="s">
        <v>113</v>
      </c>
      <c r="X4" s="104"/>
    </row>
    <row r="5" spans="1:24" ht="18" x14ac:dyDescent="0.4">
      <c r="A5" s="105"/>
      <c r="B5" s="106"/>
      <c r="C5" s="469"/>
      <c r="D5" s="107"/>
      <c r="E5" s="896"/>
      <c r="F5" s="897"/>
      <c r="G5" s="898" t="s">
        <v>117</v>
      </c>
      <c r="H5" s="899"/>
      <c r="I5" s="248"/>
      <c r="J5" s="218"/>
      <c r="K5" s="900" t="s">
        <v>118</v>
      </c>
      <c r="L5" s="901"/>
      <c r="M5" s="219" t="s">
        <v>119</v>
      </c>
      <c r="N5" s="898" t="s">
        <v>120</v>
      </c>
      <c r="O5" s="902"/>
      <c r="P5" s="220"/>
      <c r="Q5" s="221"/>
      <c r="R5" s="900" t="s">
        <v>121</v>
      </c>
      <c r="S5" s="903"/>
      <c r="T5" s="901"/>
      <c r="U5" s="220" t="s">
        <v>13</v>
      </c>
      <c r="V5" s="218"/>
      <c r="W5" s="249" t="s">
        <v>122</v>
      </c>
      <c r="X5" s="109"/>
    </row>
    <row r="6" spans="1:24" ht="18" x14ac:dyDescent="0.4">
      <c r="A6" s="105" t="s">
        <v>123</v>
      </c>
      <c r="B6" s="106"/>
      <c r="C6" s="469" t="s">
        <v>560</v>
      </c>
      <c r="D6" s="110" t="s">
        <v>124</v>
      </c>
      <c r="E6" s="896" t="s">
        <v>125</v>
      </c>
      <c r="F6" s="897"/>
      <c r="G6" s="222"/>
      <c r="H6" s="250" t="s">
        <v>126</v>
      </c>
      <c r="I6" s="925" t="s">
        <v>127</v>
      </c>
      <c r="J6" s="926"/>
      <c r="K6" s="931" t="s">
        <v>128</v>
      </c>
      <c r="L6" s="932"/>
      <c r="M6" s="223"/>
      <c r="N6" s="933" t="s">
        <v>129</v>
      </c>
      <c r="O6" s="926"/>
      <c r="P6" s="925" t="s">
        <v>130</v>
      </c>
      <c r="Q6" s="934"/>
      <c r="R6" s="925" t="s">
        <v>131</v>
      </c>
      <c r="S6" s="934"/>
      <c r="T6" s="935"/>
      <c r="U6" s="925" t="s">
        <v>132</v>
      </c>
      <c r="V6" s="926"/>
      <c r="W6" s="223" t="s">
        <v>133</v>
      </c>
      <c r="X6" s="109"/>
    </row>
    <row r="7" spans="1:24" ht="18" x14ac:dyDescent="0.4">
      <c r="A7" s="111"/>
      <c r="B7" s="112"/>
      <c r="C7" s="112"/>
      <c r="D7" s="103" t="s">
        <v>134</v>
      </c>
      <c r="E7" s="103" t="s">
        <v>135</v>
      </c>
      <c r="F7" s="103" t="s">
        <v>135</v>
      </c>
      <c r="G7" s="245" t="s">
        <v>136</v>
      </c>
      <c r="H7" s="245" t="s">
        <v>137</v>
      </c>
      <c r="I7" s="174" t="s">
        <v>138</v>
      </c>
      <c r="J7" s="103" t="s">
        <v>139</v>
      </c>
      <c r="K7" s="103" t="s">
        <v>140</v>
      </c>
      <c r="L7" s="103" t="s">
        <v>141</v>
      </c>
      <c r="M7" s="103" t="s">
        <v>142</v>
      </c>
      <c r="N7" s="174" t="s">
        <v>138</v>
      </c>
      <c r="O7" s="174" t="s">
        <v>143</v>
      </c>
      <c r="P7" s="103" t="s">
        <v>138</v>
      </c>
      <c r="Q7" s="103" t="s">
        <v>144</v>
      </c>
      <c r="R7" s="103" t="s">
        <v>145</v>
      </c>
      <c r="S7" s="113" t="s">
        <v>146</v>
      </c>
      <c r="T7" s="175" t="s">
        <v>147</v>
      </c>
      <c r="U7" s="114" t="s">
        <v>148</v>
      </c>
      <c r="V7" s="103" t="s">
        <v>149</v>
      </c>
      <c r="W7" s="103" t="s">
        <v>150</v>
      </c>
      <c r="X7" s="253" t="s">
        <v>151</v>
      </c>
    </row>
    <row r="8" spans="1:24" ht="18" x14ac:dyDescent="0.4">
      <c r="A8" s="105"/>
      <c r="B8" s="106"/>
      <c r="C8" s="469"/>
      <c r="D8" s="113"/>
      <c r="E8" s="113" t="s">
        <v>152</v>
      </c>
      <c r="F8" s="113" t="s">
        <v>153</v>
      </c>
      <c r="G8" s="246" t="s">
        <v>154</v>
      </c>
      <c r="H8" s="246" t="s">
        <v>155</v>
      </c>
      <c r="I8" s="176" t="s">
        <v>156</v>
      </c>
      <c r="J8" s="113" t="s">
        <v>157</v>
      </c>
      <c r="K8" s="113" t="s">
        <v>158</v>
      </c>
      <c r="L8" s="113" t="s">
        <v>159</v>
      </c>
      <c r="M8" s="113" t="s">
        <v>160</v>
      </c>
      <c r="N8" s="176" t="s">
        <v>161</v>
      </c>
      <c r="O8" s="176" t="s">
        <v>162</v>
      </c>
      <c r="P8" s="113" t="s">
        <v>163</v>
      </c>
      <c r="Q8" s="113" t="s">
        <v>164</v>
      </c>
      <c r="R8" s="113" t="s">
        <v>165</v>
      </c>
      <c r="S8" s="113" t="s">
        <v>166</v>
      </c>
      <c r="T8" s="175" t="s">
        <v>167</v>
      </c>
      <c r="U8" s="114" t="s">
        <v>168</v>
      </c>
      <c r="V8" s="113" t="s">
        <v>169</v>
      </c>
      <c r="W8" s="113" t="s">
        <v>170</v>
      </c>
      <c r="X8" s="109"/>
    </row>
    <row r="9" spans="1:24" ht="18" x14ac:dyDescent="0.4">
      <c r="A9" s="115"/>
      <c r="B9" s="116"/>
      <c r="C9" s="470"/>
      <c r="D9" s="110" t="s">
        <v>171</v>
      </c>
      <c r="E9" s="110" t="s">
        <v>172</v>
      </c>
      <c r="F9" s="110" t="s">
        <v>173</v>
      </c>
      <c r="G9" s="247" t="s">
        <v>174</v>
      </c>
      <c r="H9" s="247"/>
      <c r="I9" s="177" t="s">
        <v>175</v>
      </c>
      <c r="J9" s="110" t="s">
        <v>176</v>
      </c>
      <c r="K9" s="110"/>
      <c r="L9" s="117" t="s">
        <v>177</v>
      </c>
      <c r="M9" s="110" t="s">
        <v>178</v>
      </c>
      <c r="N9" s="177" t="s">
        <v>179</v>
      </c>
      <c r="O9" s="177"/>
      <c r="P9" s="110" t="s">
        <v>180</v>
      </c>
      <c r="Q9" s="110" t="s">
        <v>181</v>
      </c>
      <c r="R9" s="110" t="s">
        <v>182</v>
      </c>
      <c r="S9" s="117" t="s">
        <v>183</v>
      </c>
      <c r="T9" s="177" t="s">
        <v>184</v>
      </c>
      <c r="U9" s="110" t="s">
        <v>185</v>
      </c>
      <c r="V9" s="110" t="s">
        <v>186</v>
      </c>
      <c r="W9" s="110" t="s">
        <v>187</v>
      </c>
      <c r="X9" s="118"/>
    </row>
    <row r="10" spans="1:24" s="125" customFormat="1" ht="21" x14ac:dyDescent="0.45">
      <c r="A10" s="119" t="s">
        <v>188</v>
      </c>
      <c r="B10" s="120"/>
      <c r="C10" s="488"/>
      <c r="D10" s="121"/>
      <c r="E10" s="121"/>
      <c r="F10" s="121"/>
      <c r="G10" s="121"/>
      <c r="H10" s="122"/>
      <c r="I10" s="122"/>
      <c r="J10" s="121"/>
      <c r="K10" s="121"/>
      <c r="L10" s="121"/>
      <c r="M10" s="121"/>
      <c r="N10" s="122"/>
      <c r="O10" s="122"/>
      <c r="P10" s="121"/>
      <c r="Q10" s="121"/>
      <c r="R10" s="121"/>
      <c r="S10" s="121"/>
      <c r="T10" s="122"/>
      <c r="U10" s="123"/>
      <c r="V10" s="123"/>
      <c r="W10" s="123"/>
      <c r="X10" s="124"/>
    </row>
    <row r="11" spans="1:24" s="125" customFormat="1" ht="21" x14ac:dyDescent="0.45">
      <c r="A11" s="472" t="s">
        <v>263</v>
      </c>
      <c r="B11" s="508">
        <v>110300</v>
      </c>
      <c r="C11" s="504">
        <v>125800</v>
      </c>
      <c r="D11" s="128">
        <v>0</v>
      </c>
      <c r="E11" s="129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/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f t="shared" ref="X11:X16" si="0">SUM(D11:W11)</f>
        <v>0</v>
      </c>
    </row>
    <row r="12" spans="1:24" s="125" customFormat="1" ht="21" x14ac:dyDescent="0.45">
      <c r="A12" s="472" t="s">
        <v>264</v>
      </c>
      <c r="B12" s="508">
        <v>110900</v>
      </c>
      <c r="C12" s="504">
        <v>30000</v>
      </c>
      <c r="D12" s="129">
        <v>0</v>
      </c>
      <c r="E12" s="129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/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f t="shared" si="0"/>
        <v>0</v>
      </c>
    </row>
    <row r="13" spans="1:24" s="125" customFormat="1" ht="21" x14ac:dyDescent="0.45">
      <c r="A13" s="472" t="s">
        <v>265</v>
      </c>
      <c r="B13" s="508">
        <v>111000</v>
      </c>
      <c r="C13" s="504">
        <v>840110</v>
      </c>
      <c r="D13" s="129">
        <v>0</v>
      </c>
      <c r="E13" s="129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/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f t="shared" si="0"/>
        <v>0</v>
      </c>
    </row>
    <row r="14" spans="1:24" s="125" customFormat="1" ht="21" x14ac:dyDescent="0.45">
      <c r="A14" s="472" t="s">
        <v>266</v>
      </c>
      <c r="B14" s="508">
        <v>111100</v>
      </c>
      <c r="C14" s="504">
        <v>100250</v>
      </c>
      <c r="D14" s="129">
        <v>0</v>
      </c>
      <c r="E14" s="129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/>
      <c r="L14" s="130"/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f t="shared" si="0"/>
        <v>0</v>
      </c>
    </row>
    <row r="15" spans="1:24" s="125" customFormat="1" ht="21" x14ac:dyDescent="0.45">
      <c r="A15" s="473" t="s">
        <v>561</v>
      </c>
      <c r="B15" s="509">
        <v>111100</v>
      </c>
      <c r="C15" s="505">
        <v>440000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/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f t="shared" si="0"/>
        <v>0</v>
      </c>
    </row>
    <row r="16" spans="1:24" s="136" customFormat="1" ht="18" x14ac:dyDescent="0.4">
      <c r="A16" s="133" t="s">
        <v>189</v>
      </c>
      <c r="B16" s="487"/>
      <c r="C16" s="506">
        <f>SUM(C11:C15)</f>
        <v>1536160</v>
      </c>
      <c r="D16" s="135">
        <f>SUM(D11:D15)</f>
        <v>0</v>
      </c>
      <c r="E16" s="135">
        <f>SUM(E11:E15)</f>
        <v>0</v>
      </c>
      <c r="F16" s="135">
        <f>SUM(F11:F15)</f>
        <v>0</v>
      </c>
      <c r="G16" s="135"/>
      <c r="H16" s="135">
        <f>SUM(H11:H15)</f>
        <v>0</v>
      </c>
      <c r="I16" s="135">
        <f>SUM(I11:I15)</f>
        <v>0</v>
      </c>
      <c r="J16" s="135">
        <f>SUM(J11:J15)</f>
        <v>0</v>
      </c>
      <c r="K16" s="135">
        <f>SUM(K11:K15)</f>
        <v>0</v>
      </c>
      <c r="L16" s="135"/>
      <c r="M16" s="135">
        <f>SUM(M11:M15)</f>
        <v>0</v>
      </c>
      <c r="N16" s="135">
        <f>SUM(N11:N15)</f>
        <v>0</v>
      </c>
      <c r="O16" s="135"/>
      <c r="P16" s="135">
        <f>SUM(P11:P15)</f>
        <v>0</v>
      </c>
      <c r="Q16" s="135">
        <f>SUM(Q11:Q15)</f>
        <v>0</v>
      </c>
      <c r="R16" s="135">
        <f>SUM(R11:R15)</f>
        <v>0</v>
      </c>
      <c r="S16" s="135"/>
      <c r="T16" s="135">
        <f>SUM(T11:T15)</f>
        <v>0</v>
      </c>
      <c r="U16" s="135">
        <f>SUM(U11:U15)</f>
        <v>0</v>
      </c>
      <c r="V16" s="135">
        <f>SUM(V11:V15)</f>
        <v>0</v>
      </c>
      <c r="W16" s="135">
        <f>SUM(W11:W15)</f>
        <v>0</v>
      </c>
      <c r="X16" s="135">
        <f t="shared" si="0"/>
        <v>0</v>
      </c>
    </row>
    <row r="17" spans="1:24" s="125" customFormat="1" ht="21" x14ac:dyDescent="0.45">
      <c r="A17" s="137" t="s">
        <v>190</v>
      </c>
      <c r="B17" s="138"/>
      <c r="C17" s="491"/>
      <c r="D17" s="123"/>
      <c r="E17" s="123"/>
      <c r="F17" s="123"/>
      <c r="G17" s="123"/>
      <c r="H17" s="139"/>
      <c r="I17" s="139"/>
      <c r="J17" s="123"/>
      <c r="K17" s="123"/>
      <c r="L17" s="123"/>
      <c r="M17" s="123"/>
      <c r="N17" s="139"/>
      <c r="O17" s="139"/>
      <c r="P17" s="123"/>
      <c r="Q17" s="123"/>
      <c r="R17" s="123"/>
      <c r="S17" s="123"/>
      <c r="T17" s="139"/>
      <c r="U17" s="123"/>
      <c r="V17" s="123"/>
      <c r="W17" s="123"/>
      <c r="X17" s="123"/>
    </row>
    <row r="18" spans="1:24" s="125" customFormat="1" ht="21" x14ac:dyDescent="0.45">
      <c r="A18" s="474" t="s">
        <v>267</v>
      </c>
      <c r="B18" s="509">
        <v>210100</v>
      </c>
      <c r="C18" s="505">
        <v>695520</v>
      </c>
      <c r="D18" s="130"/>
      <c r="E18" s="130">
        <v>0</v>
      </c>
      <c r="F18" s="130">
        <v>0</v>
      </c>
      <c r="G18" s="130"/>
      <c r="H18" s="130">
        <v>0</v>
      </c>
      <c r="I18" s="130">
        <v>0</v>
      </c>
      <c r="J18" s="130">
        <v>0</v>
      </c>
      <c r="K18" s="130">
        <v>0</v>
      </c>
      <c r="L18" s="130"/>
      <c r="M18" s="130">
        <v>0</v>
      </c>
      <c r="N18" s="130">
        <v>0</v>
      </c>
      <c r="O18" s="130"/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f>SUM(D18:W18)</f>
        <v>0</v>
      </c>
    </row>
    <row r="19" spans="1:24" s="125" customFormat="1" ht="21" x14ac:dyDescent="0.45">
      <c r="A19" s="474" t="s">
        <v>192</v>
      </c>
      <c r="B19" s="509">
        <v>210200</v>
      </c>
      <c r="C19" s="505">
        <v>120000</v>
      </c>
      <c r="D19" s="130"/>
      <c r="E19" s="130">
        <v>0</v>
      </c>
      <c r="F19" s="130">
        <v>0</v>
      </c>
      <c r="G19" s="130"/>
      <c r="H19" s="130">
        <v>0</v>
      </c>
      <c r="I19" s="130">
        <v>0</v>
      </c>
      <c r="J19" s="130">
        <v>0</v>
      </c>
      <c r="K19" s="130">
        <v>0</v>
      </c>
      <c r="L19" s="130"/>
      <c r="M19" s="130">
        <v>0</v>
      </c>
      <c r="N19" s="130">
        <v>0</v>
      </c>
      <c r="O19" s="130"/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f>SUM(D19:W19)</f>
        <v>0</v>
      </c>
    </row>
    <row r="20" spans="1:24" s="140" customFormat="1" ht="21" x14ac:dyDescent="0.45">
      <c r="A20" s="474" t="s">
        <v>193</v>
      </c>
      <c r="B20" s="509">
        <v>210300</v>
      </c>
      <c r="C20" s="505">
        <v>120000</v>
      </c>
      <c r="D20" s="130"/>
      <c r="E20" s="130">
        <v>0</v>
      </c>
      <c r="F20" s="130">
        <v>0</v>
      </c>
      <c r="G20" s="130"/>
      <c r="H20" s="130">
        <v>0</v>
      </c>
      <c r="I20" s="130">
        <v>0</v>
      </c>
      <c r="J20" s="130">
        <v>0</v>
      </c>
      <c r="K20" s="130">
        <v>0</v>
      </c>
      <c r="L20" s="130"/>
      <c r="M20" s="130">
        <v>0</v>
      </c>
      <c r="N20" s="130">
        <v>0</v>
      </c>
      <c r="O20" s="130"/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f>SUM(D20:W20)</f>
        <v>0</v>
      </c>
    </row>
    <row r="21" spans="1:24" s="125" customFormat="1" ht="21" x14ac:dyDescent="0.45">
      <c r="A21" s="476" t="s">
        <v>194</v>
      </c>
      <c r="B21" s="510">
        <v>210400</v>
      </c>
      <c r="C21" s="523">
        <v>198720</v>
      </c>
      <c r="D21" s="123"/>
      <c r="E21" s="123">
        <v>0</v>
      </c>
      <c r="F21" s="123">
        <v>0</v>
      </c>
      <c r="G21" s="123"/>
      <c r="H21" s="123">
        <v>0</v>
      </c>
      <c r="I21" s="123">
        <v>0</v>
      </c>
      <c r="J21" s="123">
        <v>0</v>
      </c>
      <c r="K21" s="123">
        <v>0</v>
      </c>
      <c r="L21" s="123"/>
      <c r="M21" s="123">
        <v>0</v>
      </c>
      <c r="N21" s="123">
        <v>0</v>
      </c>
      <c r="O21" s="123"/>
      <c r="P21" s="123">
        <v>0</v>
      </c>
      <c r="Q21" s="123">
        <v>0</v>
      </c>
      <c r="R21" s="123">
        <v>0</v>
      </c>
      <c r="S21" s="130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f>SUM(D21:W21)</f>
        <v>0</v>
      </c>
    </row>
    <row r="22" spans="1:24" s="100" customFormat="1" ht="23.25" x14ac:dyDescent="0.5">
      <c r="A22" s="476" t="s">
        <v>195</v>
      </c>
      <c r="B22" s="510">
        <v>210600</v>
      </c>
      <c r="C22" s="523">
        <v>1490400</v>
      </c>
      <c r="D22" s="123"/>
      <c r="E22" s="123">
        <v>0</v>
      </c>
      <c r="F22" s="123">
        <v>0</v>
      </c>
      <c r="G22" s="123"/>
      <c r="H22" s="123">
        <v>0</v>
      </c>
      <c r="I22" s="123">
        <v>0</v>
      </c>
      <c r="J22" s="123">
        <v>0</v>
      </c>
      <c r="K22" s="123">
        <v>0</v>
      </c>
      <c r="L22" s="123"/>
      <c r="M22" s="123">
        <v>0</v>
      </c>
      <c r="N22" s="123">
        <v>0</v>
      </c>
      <c r="O22" s="123"/>
      <c r="P22" s="123">
        <v>0</v>
      </c>
      <c r="Q22" s="123">
        <v>0</v>
      </c>
      <c r="R22" s="123">
        <v>0</v>
      </c>
      <c r="S22" s="130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f>SUM(D22:W22)</f>
        <v>0</v>
      </c>
    </row>
    <row r="23" spans="1:24" s="100" customFormat="1" ht="23.25" x14ac:dyDescent="0.5">
      <c r="A23" s="141"/>
      <c r="B23" s="510"/>
      <c r="C23" s="5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30">
        <v>0</v>
      </c>
      <c r="T23" s="123"/>
      <c r="U23" s="123"/>
      <c r="V23" s="123"/>
      <c r="W23" s="123"/>
      <c r="X23" s="123"/>
    </row>
    <row r="24" spans="1:24" s="136" customFormat="1" ht="18" x14ac:dyDescent="0.4">
      <c r="A24" s="133" t="s">
        <v>189</v>
      </c>
      <c r="B24" s="487"/>
      <c r="C24" s="506">
        <f>SUM(C18:C23)</f>
        <v>2624640</v>
      </c>
      <c r="D24" s="135">
        <f>SUM(D18:D23)</f>
        <v>0</v>
      </c>
      <c r="E24" s="135">
        <f>SUM(E18:E23)</f>
        <v>0</v>
      </c>
      <c r="F24" s="135">
        <f>SUM(F16:F23)</f>
        <v>0</v>
      </c>
      <c r="G24" s="135"/>
      <c r="H24" s="135">
        <f>SUM(H16:H23)</f>
        <v>0</v>
      </c>
      <c r="I24" s="135">
        <f>SUM(I16:I23)</f>
        <v>0</v>
      </c>
      <c r="J24" s="135">
        <f>SUM(J16:J23)</f>
        <v>0</v>
      </c>
      <c r="K24" s="135">
        <f>SUM(K16:K23)</f>
        <v>0</v>
      </c>
      <c r="L24" s="135"/>
      <c r="M24" s="135">
        <f>SUM(M16:M23)</f>
        <v>0</v>
      </c>
      <c r="N24" s="135">
        <f>SUM(N16:N23)</f>
        <v>0</v>
      </c>
      <c r="O24" s="135"/>
      <c r="P24" s="135">
        <f t="shared" ref="P24:W24" si="1">SUM(P16:P23)</f>
        <v>0</v>
      </c>
      <c r="Q24" s="135">
        <f t="shared" si="1"/>
        <v>0</v>
      </c>
      <c r="R24" s="135">
        <f t="shared" si="1"/>
        <v>0</v>
      </c>
      <c r="S24" s="135">
        <f t="shared" si="1"/>
        <v>0</v>
      </c>
      <c r="T24" s="135">
        <f t="shared" si="1"/>
        <v>0</v>
      </c>
      <c r="U24" s="135">
        <f t="shared" si="1"/>
        <v>0</v>
      </c>
      <c r="V24" s="135">
        <f t="shared" si="1"/>
        <v>0</v>
      </c>
      <c r="W24" s="135">
        <f t="shared" si="1"/>
        <v>0</v>
      </c>
      <c r="X24" s="135">
        <f>SUM(D24:W24)</f>
        <v>0</v>
      </c>
    </row>
    <row r="25" spans="1:24" s="100" customFormat="1" ht="23.25" x14ac:dyDescent="0.5">
      <c r="A25" s="482" t="s">
        <v>48</v>
      </c>
      <c r="B25" s="132"/>
      <c r="C25" s="488"/>
      <c r="D25" s="130"/>
      <c r="E25" s="130"/>
      <c r="F25" s="130"/>
      <c r="G25" s="130"/>
      <c r="H25" s="143"/>
      <c r="I25" s="143"/>
      <c r="J25" s="130"/>
      <c r="K25" s="130"/>
      <c r="L25" s="130"/>
      <c r="M25" s="130"/>
      <c r="N25" s="143"/>
      <c r="O25" s="143"/>
      <c r="P25" s="130"/>
      <c r="Q25" s="130"/>
      <c r="R25" s="130"/>
      <c r="S25" s="130">
        <v>0</v>
      </c>
      <c r="T25" s="143"/>
      <c r="U25" s="130"/>
      <c r="V25" s="130"/>
      <c r="W25" s="130"/>
      <c r="X25" s="130"/>
    </row>
    <row r="26" spans="1:24" s="100" customFormat="1" ht="23.25" x14ac:dyDescent="0.5">
      <c r="A26" s="479" t="s">
        <v>196</v>
      </c>
      <c r="B26" s="514">
        <v>220100</v>
      </c>
      <c r="C26" s="524">
        <f>2300000+360000</f>
        <v>2660000</v>
      </c>
      <c r="D26" s="130"/>
      <c r="E26" s="130">
        <v>0</v>
      </c>
      <c r="F26" s="130">
        <v>0</v>
      </c>
      <c r="G26" s="130"/>
      <c r="H26" s="130">
        <v>0</v>
      </c>
      <c r="I26" s="130">
        <v>0</v>
      </c>
      <c r="J26" s="130">
        <v>0</v>
      </c>
      <c r="K26" s="130">
        <v>0</v>
      </c>
      <c r="L26" s="130"/>
      <c r="M26" s="130">
        <v>0</v>
      </c>
      <c r="N26" s="130">
        <v>0</v>
      </c>
      <c r="O26" s="130"/>
      <c r="P26" s="130"/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f t="shared" ref="X26:X31" si="2">SUM(D26:W26)</f>
        <v>0</v>
      </c>
    </row>
    <row r="27" spans="1:24" s="100" customFormat="1" ht="23.25" x14ac:dyDescent="0.5">
      <c r="A27" s="473" t="s">
        <v>197</v>
      </c>
      <c r="B27" s="509">
        <v>220200</v>
      </c>
      <c r="C27" s="505">
        <f>10000+10000</f>
        <v>20000</v>
      </c>
      <c r="D27" s="130"/>
      <c r="E27" s="130">
        <v>0</v>
      </c>
      <c r="F27" s="130">
        <v>0</v>
      </c>
      <c r="G27" s="123"/>
      <c r="H27" s="123">
        <v>0</v>
      </c>
      <c r="I27" s="123">
        <v>0</v>
      </c>
      <c r="J27" s="123">
        <v>0</v>
      </c>
      <c r="K27" s="123">
        <v>0</v>
      </c>
      <c r="L27" s="123"/>
      <c r="M27" s="123">
        <v>0</v>
      </c>
      <c r="N27" s="123">
        <v>0</v>
      </c>
      <c r="O27" s="123"/>
      <c r="P27" s="130"/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30">
        <f t="shared" si="2"/>
        <v>0</v>
      </c>
    </row>
    <row r="28" spans="1:24" s="100" customFormat="1" ht="23.25" x14ac:dyDescent="0.5">
      <c r="A28" s="473" t="s">
        <v>198</v>
      </c>
      <c r="B28" s="509">
        <v>220300</v>
      </c>
      <c r="C28" s="505">
        <f>84000+42000</f>
        <v>126000</v>
      </c>
      <c r="D28" s="130"/>
      <c r="E28" s="130">
        <v>0</v>
      </c>
      <c r="F28" s="130">
        <v>0</v>
      </c>
      <c r="G28" s="123"/>
      <c r="H28" s="123">
        <v>0</v>
      </c>
      <c r="I28" s="123">
        <v>0</v>
      </c>
      <c r="J28" s="123">
        <v>0</v>
      </c>
      <c r="K28" s="123">
        <v>0</v>
      </c>
      <c r="L28" s="123"/>
      <c r="M28" s="123">
        <v>0</v>
      </c>
      <c r="N28" s="123">
        <v>0</v>
      </c>
      <c r="O28" s="123"/>
      <c r="P28" s="130"/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30">
        <f t="shared" si="2"/>
        <v>0</v>
      </c>
    </row>
    <row r="29" spans="1:24" s="100" customFormat="1" ht="23.25" x14ac:dyDescent="0.5">
      <c r="A29" s="480" t="s">
        <v>562</v>
      </c>
      <c r="B29" s="509">
        <v>220600</v>
      </c>
      <c r="C29" s="505">
        <f>990000+500000</f>
        <v>1490000</v>
      </c>
      <c r="D29" s="130"/>
      <c r="E29" s="130">
        <v>0</v>
      </c>
      <c r="F29" s="147">
        <v>0</v>
      </c>
      <c r="G29" s="147"/>
      <c r="H29" s="130">
        <v>0</v>
      </c>
      <c r="I29" s="123">
        <v>0</v>
      </c>
      <c r="J29" s="143">
        <v>0</v>
      </c>
      <c r="K29" s="130">
        <v>0</v>
      </c>
      <c r="L29" s="130"/>
      <c r="M29" s="130">
        <v>0</v>
      </c>
      <c r="N29" s="130">
        <v>0</v>
      </c>
      <c r="O29" s="130"/>
      <c r="P29" s="130"/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f t="shared" si="2"/>
        <v>0</v>
      </c>
    </row>
    <row r="30" spans="1:24" s="100" customFormat="1" ht="23.25" x14ac:dyDescent="0.5">
      <c r="A30" s="480" t="s">
        <v>200</v>
      </c>
      <c r="B30" s="515">
        <v>220700</v>
      </c>
      <c r="C30" s="525">
        <f>150000+95000</f>
        <v>245000</v>
      </c>
      <c r="D30" s="149"/>
      <c r="E30" s="149">
        <v>0</v>
      </c>
      <c r="F30" s="149">
        <v>0</v>
      </c>
      <c r="G30" s="124"/>
      <c r="H30" s="123">
        <v>0</v>
      </c>
      <c r="I30" s="123">
        <v>0</v>
      </c>
      <c r="J30" s="150">
        <v>0</v>
      </c>
      <c r="K30" s="123">
        <v>0</v>
      </c>
      <c r="L30" s="123"/>
      <c r="M30" s="123">
        <v>0</v>
      </c>
      <c r="N30" s="123">
        <v>0</v>
      </c>
      <c r="O30" s="124"/>
      <c r="P30" s="149"/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30">
        <f t="shared" si="2"/>
        <v>0</v>
      </c>
    </row>
    <row r="31" spans="1:24" s="136" customFormat="1" ht="18" x14ac:dyDescent="0.4">
      <c r="A31" s="133" t="s">
        <v>189</v>
      </c>
      <c r="B31" s="516"/>
      <c r="C31" s="506">
        <f>SUM(C26:C30)</f>
        <v>4541000</v>
      </c>
      <c r="D31" s="135">
        <f t="shared" ref="D31:N31" si="3">SUM(D18:D30)</f>
        <v>0</v>
      </c>
      <c r="E31" s="135">
        <f>SUM(E26:E30)</f>
        <v>0</v>
      </c>
      <c r="F31" s="135">
        <f>SUM(F26:F30)</f>
        <v>0</v>
      </c>
      <c r="G31" s="135"/>
      <c r="H31" s="135">
        <f t="shared" si="3"/>
        <v>0</v>
      </c>
      <c r="I31" s="135">
        <f>SUM(I26:I30)</f>
        <v>0</v>
      </c>
      <c r="J31" s="135">
        <f>SUM(J18:J30)</f>
        <v>0</v>
      </c>
      <c r="K31" s="135">
        <f t="shared" si="3"/>
        <v>0</v>
      </c>
      <c r="L31" s="135"/>
      <c r="M31" s="135">
        <f t="shared" si="3"/>
        <v>0</v>
      </c>
      <c r="N31" s="135">
        <f t="shared" si="3"/>
        <v>0</v>
      </c>
      <c r="O31" s="135"/>
      <c r="P31" s="135">
        <f>SUM(P26:P30)</f>
        <v>0</v>
      </c>
      <c r="Q31" s="135">
        <f>SUM(Q18:Q30)</f>
        <v>0</v>
      </c>
      <c r="R31" s="135">
        <f>SUM(R18:R30)</f>
        <v>0</v>
      </c>
      <c r="S31" s="135">
        <f>SUM(S18:S30)</f>
        <v>0</v>
      </c>
      <c r="T31" s="135">
        <f>SUM(T18:T30)</f>
        <v>0</v>
      </c>
      <c r="U31" s="135">
        <f>SUM(U21:U30)</f>
        <v>0</v>
      </c>
      <c r="V31" s="135">
        <f>SUM(V21:V30)</f>
        <v>0</v>
      </c>
      <c r="W31" s="135">
        <f>SUM(W18:W30)</f>
        <v>0</v>
      </c>
      <c r="X31" s="135">
        <f t="shared" si="2"/>
        <v>0</v>
      </c>
    </row>
    <row r="32" spans="1:24" s="100" customFormat="1" ht="23.25" x14ac:dyDescent="0.5">
      <c r="A32" s="137" t="s">
        <v>49</v>
      </c>
      <c r="B32" s="517"/>
      <c r="C32" s="491"/>
      <c r="D32" s="123"/>
      <c r="E32" s="123"/>
      <c r="F32" s="123"/>
      <c r="G32" s="123"/>
      <c r="H32" s="139"/>
      <c r="I32" s="139"/>
      <c r="J32" s="123"/>
      <c r="K32" s="123"/>
      <c r="L32" s="123"/>
      <c r="M32" s="123"/>
      <c r="N32" s="139"/>
      <c r="O32" s="139"/>
      <c r="P32" s="123"/>
      <c r="Q32" s="123"/>
      <c r="R32" s="123"/>
      <c r="S32" s="123"/>
      <c r="T32" s="139"/>
      <c r="U32" s="123"/>
      <c r="V32" s="123"/>
      <c r="W32" s="123"/>
      <c r="X32" s="130"/>
    </row>
    <row r="33" spans="1:51" s="136" customFormat="1" ht="18" x14ac:dyDescent="0.4">
      <c r="A33" s="473" t="s">
        <v>331</v>
      </c>
      <c r="B33" s="509">
        <v>310100</v>
      </c>
      <c r="C33" s="505">
        <f>20000+30000+10000</f>
        <v>60000</v>
      </c>
      <c r="D33" s="130">
        <v>0</v>
      </c>
      <c r="E33" s="130">
        <v>0</v>
      </c>
      <c r="F33" s="130">
        <v>0</v>
      </c>
      <c r="G33" s="130"/>
      <c r="H33" s="130">
        <v>0</v>
      </c>
      <c r="I33" s="130">
        <v>0</v>
      </c>
      <c r="J33" s="130">
        <v>0</v>
      </c>
      <c r="K33" s="130">
        <v>0</v>
      </c>
      <c r="L33" s="130"/>
      <c r="M33" s="130">
        <v>0</v>
      </c>
      <c r="N33" s="130">
        <v>0</v>
      </c>
      <c r="O33" s="130"/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49">
        <f t="shared" ref="X33:X38" si="4">SUM(D33:W33)</f>
        <v>0</v>
      </c>
    </row>
    <row r="34" spans="1:51" s="136" customFormat="1" ht="18" x14ac:dyDescent="0.4">
      <c r="A34" s="473" t="s">
        <v>211</v>
      </c>
      <c r="B34" s="509">
        <v>310300</v>
      </c>
      <c r="C34" s="505">
        <f>5000+5000</f>
        <v>10000</v>
      </c>
      <c r="D34" s="130">
        <v>0</v>
      </c>
      <c r="E34" s="130">
        <v>0</v>
      </c>
      <c r="F34" s="130">
        <v>0</v>
      </c>
      <c r="G34" s="123"/>
      <c r="H34" s="123">
        <v>0</v>
      </c>
      <c r="I34" s="123">
        <v>0</v>
      </c>
      <c r="J34" s="123">
        <v>0</v>
      </c>
      <c r="K34" s="123">
        <v>0</v>
      </c>
      <c r="L34" s="123"/>
      <c r="M34" s="123">
        <v>0</v>
      </c>
      <c r="N34" s="123">
        <v>0</v>
      </c>
      <c r="O34" s="123"/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53">
        <f t="shared" si="4"/>
        <v>0</v>
      </c>
    </row>
    <row r="35" spans="1:51" s="100" customFormat="1" ht="23.25" x14ac:dyDescent="0.5">
      <c r="A35" s="473" t="s">
        <v>212</v>
      </c>
      <c r="B35" s="509">
        <v>310400</v>
      </c>
      <c r="C35" s="505">
        <f>10000+5000</f>
        <v>15000</v>
      </c>
      <c r="D35" s="130">
        <v>0</v>
      </c>
      <c r="E35" s="130">
        <v>0</v>
      </c>
      <c r="F35" s="130">
        <v>0</v>
      </c>
      <c r="G35" s="123"/>
      <c r="H35" s="123">
        <v>0</v>
      </c>
      <c r="I35" s="123">
        <v>0</v>
      </c>
      <c r="J35" s="123">
        <v>0</v>
      </c>
      <c r="K35" s="123">
        <v>0</v>
      </c>
      <c r="L35" s="123"/>
      <c r="M35" s="123">
        <v>0</v>
      </c>
      <c r="N35" s="123">
        <v>0</v>
      </c>
      <c r="O35" s="123"/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53">
        <f t="shared" si="4"/>
        <v>0</v>
      </c>
    </row>
    <row r="36" spans="1:51" s="100" customFormat="1" ht="23.25" x14ac:dyDescent="0.5">
      <c r="A36" s="480" t="s">
        <v>213</v>
      </c>
      <c r="B36" s="515">
        <v>310500</v>
      </c>
      <c r="C36" s="525">
        <f>30000+5000</f>
        <v>35000</v>
      </c>
      <c r="D36" s="149"/>
      <c r="E36" s="149">
        <v>0</v>
      </c>
      <c r="F36" s="149">
        <v>0</v>
      </c>
      <c r="G36" s="149"/>
      <c r="H36" s="130">
        <v>0</v>
      </c>
      <c r="I36" s="130">
        <v>0</v>
      </c>
      <c r="J36" s="130">
        <v>0</v>
      </c>
      <c r="K36" s="130">
        <v>0</v>
      </c>
      <c r="L36" s="130"/>
      <c r="M36" s="130">
        <v>0</v>
      </c>
      <c r="N36" s="130">
        <v>0</v>
      </c>
      <c r="O36" s="149"/>
      <c r="P36" s="149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53">
        <f t="shared" si="4"/>
        <v>0</v>
      </c>
    </row>
    <row r="37" spans="1:51" s="100" customFormat="1" ht="23.25" x14ac:dyDescent="0.5">
      <c r="A37" s="480" t="s">
        <v>214</v>
      </c>
      <c r="B37" s="515">
        <v>310100</v>
      </c>
      <c r="C37" s="525"/>
      <c r="D37" s="149"/>
      <c r="E37" s="149">
        <v>0</v>
      </c>
      <c r="F37" s="149">
        <v>0</v>
      </c>
      <c r="G37" s="149"/>
      <c r="H37" s="149">
        <v>0</v>
      </c>
      <c r="I37" s="124">
        <v>0</v>
      </c>
      <c r="J37" s="124">
        <v>0</v>
      </c>
      <c r="K37" s="124">
        <v>0</v>
      </c>
      <c r="L37" s="124"/>
      <c r="M37" s="124">
        <v>0</v>
      </c>
      <c r="N37" s="124">
        <v>0</v>
      </c>
      <c r="O37" s="124"/>
      <c r="P37" s="149">
        <v>0</v>
      </c>
      <c r="Q37" s="149"/>
      <c r="R37" s="149"/>
      <c r="S37" s="149"/>
      <c r="T37" s="149"/>
      <c r="U37" s="149"/>
      <c r="V37" s="149"/>
      <c r="W37" s="149"/>
      <c r="X37" s="155">
        <f t="shared" si="4"/>
        <v>0</v>
      </c>
    </row>
    <row r="38" spans="1:51" s="157" customFormat="1" ht="23.25" x14ac:dyDescent="0.5">
      <c r="A38" s="473" t="s">
        <v>215</v>
      </c>
      <c r="B38" s="509">
        <v>310600</v>
      </c>
      <c r="C38" s="505"/>
      <c r="D38" s="130">
        <v>0</v>
      </c>
      <c r="E38" s="130">
        <v>0</v>
      </c>
      <c r="F38" s="130">
        <v>0</v>
      </c>
      <c r="G38" s="130"/>
      <c r="H38" s="130">
        <v>0</v>
      </c>
      <c r="I38" s="130">
        <v>0</v>
      </c>
      <c r="J38" s="130">
        <v>0</v>
      </c>
      <c r="K38" s="130">
        <v>0</v>
      </c>
      <c r="L38" s="130"/>
      <c r="M38" s="130">
        <v>0</v>
      </c>
      <c r="N38" s="130">
        <v>0</v>
      </c>
      <c r="O38" s="130"/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f t="shared" si="4"/>
        <v>0</v>
      </c>
    </row>
    <row r="39" spans="1:51" s="100" customFormat="1" ht="23.25" x14ac:dyDescent="0.5">
      <c r="A39" s="481" t="s">
        <v>268</v>
      </c>
      <c r="B39" s="517"/>
      <c r="C39" s="526"/>
      <c r="D39" s="124"/>
      <c r="E39" s="124">
        <v>0</v>
      </c>
      <c r="F39" s="124">
        <v>0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>
        <v>0</v>
      </c>
      <c r="Q39" s="124"/>
      <c r="R39" s="124"/>
      <c r="S39" s="124"/>
      <c r="T39" s="124">
        <v>0</v>
      </c>
      <c r="U39" s="124"/>
      <c r="V39" s="124">
        <v>0</v>
      </c>
      <c r="W39" s="124"/>
      <c r="X39" s="124"/>
      <c r="Y39" s="256"/>
      <c r="Z39" s="257"/>
    </row>
    <row r="40" spans="1:51" s="161" customFormat="1" ht="18" x14ac:dyDescent="0.4">
      <c r="A40" s="133" t="s">
        <v>189</v>
      </c>
      <c r="B40" s="516"/>
      <c r="C40" s="490"/>
      <c r="D40" s="135">
        <f>SUM(D33:D38)</f>
        <v>0</v>
      </c>
      <c r="E40" s="135">
        <f>SUM(E33:E39)</f>
        <v>0</v>
      </c>
      <c r="F40" s="135">
        <f>SUM(F33:F39)</f>
        <v>0</v>
      </c>
      <c r="G40" s="135"/>
      <c r="H40" s="160">
        <v>0</v>
      </c>
      <c r="I40" s="160">
        <v>0</v>
      </c>
      <c r="J40" s="135">
        <f>SUM(J33:J38)</f>
        <v>0</v>
      </c>
      <c r="K40" s="160">
        <v>0</v>
      </c>
      <c r="L40" s="160"/>
      <c r="M40" s="135">
        <f>SUM(M33:M38)</f>
        <v>0</v>
      </c>
      <c r="N40" s="135">
        <f>SUM(N33:N38)</f>
        <v>0</v>
      </c>
      <c r="O40" s="135"/>
      <c r="P40" s="135">
        <f t="shared" ref="P40:W40" si="5">SUM(P33:P38)</f>
        <v>0</v>
      </c>
      <c r="Q40" s="135">
        <f t="shared" si="5"/>
        <v>0</v>
      </c>
      <c r="R40" s="135">
        <f t="shared" si="5"/>
        <v>0</v>
      </c>
      <c r="S40" s="135"/>
      <c r="T40" s="135">
        <f t="shared" si="5"/>
        <v>0</v>
      </c>
      <c r="U40" s="135">
        <f t="shared" si="5"/>
        <v>0</v>
      </c>
      <c r="V40" s="135">
        <f>SUM(V33:V39)</f>
        <v>0</v>
      </c>
      <c r="W40" s="135">
        <f t="shared" si="5"/>
        <v>0</v>
      </c>
      <c r="X40" s="135">
        <f>SUM(D40:W40)</f>
        <v>0</v>
      </c>
      <c r="Y40" s="11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</row>
    <row r="41" spans="1:51" s="100" customFormat="1" ht="23.25" x14ac:dyDescent="0.5">
      <c r="A41" s="904" t="s">
        <v>76</v>
      </c>
      <c r="B41" s="904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</row>
    <row r="42" spans="1:51" s="100" customFormat="1" ht="23.25" x14ac:dyDescent="0.5">
      <c r="A42" s="904" t="s">
        <v>332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</row>
    <row r="43" spans="1:51" s="100" customFormat="1" ht="23.25" x14ac:dyDescent="0.5">
      <c r="A43" s="904" t="s">
        <v>549</v>
      </c>
      <c r="B43" s="904"/>
      <c r="C43" s="904"/>
      <c r="D43" s="904"/>
      <c r="E43" s="904"/>
      <c r="F43" s="904"/>
      <c r="G43" s="904"/>
      <c r="H43" s="904"/>
      <c r="I43" s="904"/>
      <c r="J43" s="904"/>
      <c r="K43" s="904"/>
      <c r="L43" s="904"/>
      <c r="M43" s="904"/>
      <c r="N43" s="904"/>
      <c r="O43" s="904"/>
      <c r="P43" s="904"/>
      <c r="Q43" s="904"/>
      <c r="R43" s="904"/>
      <c r="S43" s="904"/>
      <c r="T43" s="904"/>
      <c r="U43" s="904"/>
      <c r="V43" s="904"/>
      <c r="W43" s="904"/>
      <c r="X43" s="904"/>
    </row>
    <row r="44" spans="1:51" s="136" customFormat="1" ht="18" x14ac:dyDescent="0.4">
      <c r="A44" s="101"/>
      <c r="B44" s="102"/>
      <c r="C44" s="468"/>
      <c r="D44" s="103" t="s">
        <v>41</v>
      </c>
      <c r="E44" s="914" t="s">
        <v>110</v>
      </c>
      <c r="F44" s="915"/>
      <c r="G44" s="927" t="s">
        <v>111</v>
      </c>
      <c r="H44" s="928"/>
      <c r="I44" s="913" t="s">
        <v>112</v>
      </c>
      <c r="J44" s="916"/>
      <c r="K44" s="929" t="s">
        <v>113</v>
      </c>
      <c r="L44" s="930"/>
      <c r="M44" s="151" t="s">
        <v>113</v>
      </c>
      <c r="N44" s="927" t="s">
        <v>113</v>
      </c>
      <c r="O44" s="916"/>
      <c r="P44" s="913" t="s">
        <v>114</v>
      </c>
      <c r="Q44" s="914"/>
      <c r="R44" s="913" t="s">
        <v>115</v>
      </c>
      <c r="S44" s="914"/>
      <c r="T44" s="915"/>
      <c r="U44" s="913" t="s">
        <v>201</v>
      </c>
      <c r="V44" s="916"/>
      <c r="W44" s="151" t="s">
        <v>113</v>
      </c>
      <c r="X44" s="104"/>
    </row>
    <row r="45" spans="1:51" s="100" customFormat="1" ht="23.25" x14ac:dyDescent="0.5">
      <c r="A45" s="105"/>
      <c r="B45" s="106"/>
      <c r="C45" s="469"/>
      <c r="D45" s="107"/>
      <c r="E45" s="917"/>
      <c r="F45" s="918"/>
      <c r="G45" s="919" t="s">
        <v>202</v>
      </c>
      <c r="H45" s="920"/>
      <c r="I45" s="251"/>
      <c r="J45" s="215"/>
      <c r="K45" s="921" t="s">
        <v>118</v>
      </c>
      <c r="L45" s="922"/>
      <c r="M45" s="113" t="s">
        <v>119</v>
      </c>
      <c r="N45" s="919" t="s">
        <v>120</v>
      </c>
      <c r="O45" s="923"/>
      <c r="P45" s="214"/>
      <c r="Q45" s="108"/>
      <c r="R45" s="921" t="s">
        <v>121</v>
      </c>
      <c r="S45" s="924"/>
      <c r="T45" s="922"/>
      <c r="U45" s="921" t="s">
        <v>203</v>
      </c>
      <c r="V45" s="923"/>
      <c r="W45" s="252" t="s">
        <v>122</v>
      </c>
      <c r="X45" s="109"/>
    </row>
    <row r="46" spans="1:51" s="100" customFormat="1" ht="23.25" x14ac:dyDescent="0.5">
      <c r="A46" s="105" t="s">
        <v>123</v>
      </c>
      <c r="B46" s="106"/>
      <c r="C46" s="469"/>
      <c r="D46" s="110" t="s">
        <v>204</v>
      </c>
      <c r="E46" s="917" t="s">
        <v>205</v>
      </c>
      <c r="F46" s="918"/>
      <c r="G46" s="211"/>
      <c r="H46" s="177" t="s">
        <v>126</v>
      </c>
      <c r="I46" s="936" t="s">
        <v>127</v>
      </c>
      <c r="J46" s="926"/>
      <c r="K46" s="937" t="s">
        <v>128</v>
      </c>
      <c r="L46" s="938"/>
      <c r="M46" s="110"/>
      <c r="N46" s="939" t="s">
        <v>129</v>
      </c>
      <c r="O46" s="926"/>
      <c r="P46" s="936" t="s">
        <v>130</v>
      </c>
      <c r="Q46" s="940"/>
      <c r="R46" s="936" t="s">
        <v>131</v>
      </c>
      <c r="S46" s="940"/>
      <c r="T46" s="941"/>
      <c r="U46" s="936" t="s">
        <v>132</v>
      </c>
      <c r="V46" s="926"/>
      <c r="W46" s="213"/>
      <c r="X46" s="109"/>
    </row>
    <row r="47" spans="1:51" s="100" customFormat="1" ht="23.25" x14ac:dyDescent="0.5">
      <c r="A47" s="111"/>
      <c r="B47" s="152"/>
      <c r="C47" s="152"/>
      <c r="D47" s="103" t="s">
        <v>134</v>
      </c>
      <c r="E47" s="103" t="s">
        <v>135</v>
      </c>
      <c r="F47" s="103" t="s">
        <v>135</v>
      </c>
      <c r="G47" s="174" t="s">
        <v>136</v>
      </c>
      <c r="H47" s="174" t="s">
        <v>137</v>
      </c>
      <c r="I47" s="174" t="s">
        <v>138</v>
      </c>
      <c r="J47" s="103" t="s">
        <v>206</v>
      </c>
      <c r="K47" s="103" t="s">
        <v>140</v>
      </c>
      <c r="L47" s="103" t="s">
        <v>141</v>
      </c>
      <c r="M47" s="103" t="s">
        <v>142</v>
      </c>
      <c r="N47" s="174" t="s">
        <v>207</v>
      </c>
      <c r="O47" s="174" t="s">
        <v>208</v>
      </c>
      <c r="P47" s="103" t="s">
        <v>138</v>
      </c>
      <c r="Q47" s="103" t="s">
        <v>144</v>
      </c>
      <c r="R47" s="103" t="s">
        <v>145</v>
      </c>
      <c r="S47" s="113" t="s">
        <v>146</v>
      </c>
      <c r="T47" s="175" t="s">
        <v>147</v>
      </c>
      <c r="U47" s="114" t="s">
        <v>148</v>
      </c>
      <c r="V47" s="103" t="s">
        <v>149</v>
      </c>
      <c r="W47" s="103" t="s">
        <v>150</v>
      </c>
      <c r="X47" s="253" t="s">
        <v>151</v>
      </c>
    </row>
    <row r="48" spans="1:51" s="100" customFormat="1" ht="23.25" x14ac:dyDescent="0.5">
      <c r="A48" s="105"/>
      <c r="B48" s="106"/>
      <c r="C48" s="469"/>
      <c r="D48" s="113"/>
      <c r="E48" s="113" t="s">
        <v>152</v>
      </c>
      <c r="F48" s="113" t="s">
        <v>153</v>
      </c>
      <c r="G48" s="176" t="s">
        <v>154</v>
      </c>
      <c r="H48" s="176" t="s">
        <v>155</v>
      </c>
      <c r="I48" s="176" t="s">
        <v>156</v>
      </c>
      <c r="J48" s="113" t="s">
        <v>209</v>
      </c>
      <c r="K48" s="113" t="s">
        <v>158</v>
      </c>
      <c r="L48" s="113" t="s">
        <v>159</v>
      </c>
      <c r="M48" s="113" t="s">
        <v>160</v>
      </c>
      <c r="N48" s="176" t="s">
        <v>161</v>
      </c>
      <c r="O48" s="176"/>
      <c r="P48" s="113" t="s">
        <v>163</v>
      </c>
      <c r="Q48" s="113" t="s">
        <v>164</v>
      </c>
      <c r="R48" s="113" t="s">
        <v>165</v>
      </c>
      <c r="S48" s="113" t="s">
        <v>166</v>
      </c>
      <c r="T48" s="175" t="s">
        <v>167</v>
      </c>
      <c r="U48" s="114" t="s">
        <v>168</v>
      </c>
      <c r="V48" s="113" t="s">
        <v>169</v>
      </c>
      <c r="W48" s="113" t="s">
        <v>170</v>
      </c>
      <c r="X48" s="109"/>
    </row>
    <row r="49" spans="1:24" s="100" customFormat="1" ht="23.25" x14ac:dyDescent="0.5">
      <c r="A49" s="115"/>
      <c r="B49" s="116"/>
      <c r="C49" s="470"/>
      <c r="D49" s="110" t="s">
        <v>171</v>
      </c>
      <c r="E49" s="110" t="s">
        <v>172</v>
      </c>
      <c r="F49" s="110" t="s">
        <v>173</v>
      </c>
      <c r="G49" s="177" t="s">
        <v>174</v>
      </c>
      <c r="H49" s="177"/>
      <c r="I49" s="177" t="s">
        <v>175</v>
      </c>
      <c r="J49" s="110" t="s">
        <v>210</v>
      </c>
      <c r="K49" s="110"/>
      <c r="L49" s="117" t="s">
        <v>177</v>
      </c>
      <c r="M49" s="110"/>
      <c r="N49" s="177" t="s">
        <v>179</v>
      </c>
      <c r="O49" s="177"/>
      <c r="P49" s="110" t="s">
        <v>180</v>
      </c>
      <c r="Q49" s="110" t="s">
        <v>181</v>
      </c>
      <c r="R49" s="110" t="s">
        <v>182</v>
      </c>
      <c r="S49" s="117" t="s">
        <v>183</v>
      </c>
      <c r="T49" s="177" t="s">
        <v>184</v>
      </c>
      <c r="U49" s="110" t="s">
        <v>185</v>
      </c>
      <c r="V49" s="110" t="s">
        <v>186</v>
      </c>
      <c r="W49" s="110"/>
      <c r="X49" s="118"/>
    </row>
    <row r="50" spans="1:24" ht="21" x14ac:dyDescent="0.45">
      <c r="A50" s="162" t="s">
        <v>50</v>
      </c>
      <c r="B50" s="120"/>
      <c r="C50" s="488"/>
      <c r="D50" s="123"/>
      <c r="E50" s="123"/>
      <c r="F50" s="123"/>
      <c r="G50" s="123"/>
      <c r="H50" s="139"/>
      <c r="I50" s="139"/>
      <c r="J50" s="123"/>
      <c r="K50" s="123"/>
      <c r="L50" s="123"/>
      <c r="M50" s="123"/>
      <c r="N50" s="139"/>
      <c r="O50" s="139"/>
      <c r="P50" s="123"/>
      <c r="Q50" s="123"/>
      <c r="R50" s="123"/>
      <c r="S50" s="123"/>
      <c r="T50" s="139"/>
      <c r="U50" s="123"/>
      <c r="V50" s="123"/>
      <c r="W50" s="123"/>
      <c r="X50" s="123"/>
    </row>
    <row r="51" spans="1:24" ht="18" x14ac:dyDescent="0.4">
      <c r="A51" s="477" t="s">
        <v>269</v>
      </c>
      <c r="B51" s="509">
        <v>320100</v>
      </c>
      <c r="C51" s="505">
        <f>100000+15000+10000</f>
        <v>125000</v>
      </c>
      <c r="D51" s="130">
        <v>0</v>
      </c>
      <c r="E51" s="130"/>
      <c r="F51" s="130">
        <v>0</v>
      </c>
      <c r="G51" s="123"/>
      <c r="H51" s="123">
        <v>0</v>
      </c>
      <c r="I51" s="123">
        <v>0</v>
      </c>
      <c r="J51" s="130">
        <v>0</v>
      </c>
      <c r="K51" s="130">
        <v>0</v>
      </c>
      <c r="L51" s="130"/>
      <c r="M51" s="130">
        <v>0</v>
      </c>
      <c r="N51" s="130">
        <v>0</v>
      </c>
      <c r="O51" s="130"/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f>SUM(D51:W51)</f>
        <v>0</v>
      </c>
    </row>
    <row r="52" spans="1:24" ht="18" x14ac:dyDescent="0.4">
      <c r="A52" s="477" t="s">
        <v>270</v>
      </c>
      <c r="B52" s="509">
        <v>320200</v>
      </c>
      <c r="C52" s="505"/>
      <c r="D52" s="130"/>
      <c r="E52" s="130"/>
      <c r="F52" s="130">
        <v>0</v>
      </c>
      <c r="G52" s="130"/>
      <c r="H52" s="143"/>
      <c r="I52" s="143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</row>
    <row r="53" spans="1:24" ht="18" x14ac:dyDescent="0.4">
      <c r="A53" s="475" t="s">
        <v>219</v>
      </c>
      <c r="B53" s="510"/>
      <c r="C53" s="523">
        <v>10000</v>
      </c>
      <c r="D53" s="123">
        <v>0</v>
      </c>
      <c r="E53" s="123">
        <v>0</v>
      </c>
      <c r="F53" s="123">
        <v>0</v>
      </c>
      <c r="G53" s="123"/>
      <c r="H53" s="123">
        <v>0</v>
      </c>
      <c r="I53" s="123">
        <v>0</v>
      </c>
      <c r="J53" s="123">
        <v>0</v>
      </c>
      <c r="K53" s="123">
        <v>0</v>
      </c>
      <c r="L53" s="123"/>
      <c r="M53" s="123">
        <v>0</v>
      </c>
      <c r="N53" s="123">
        <v>0</v>
      </c>
      <c r="O53" s="123"/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23">
        <v>0</v>
      </c>
      <c r="X53" s="123">
        <f>SUM(D53:W53)</f>
        <v>0</v>
      </c>
    </row>
    <row r="54" spans="1:24" ht="18" x14ac:dyDescent="0.4">
      <c r="A54" s="473" t="s">
        <v>220</v>
      </c>
      <c r="B54" s="509"/>
      <c r="C54" s="505">
        <v>20000</v>
      </c>
      <c r="D54" s="130">
        <v>0</v>
      </c>
      <c r="E54" s="130">
        <v>0</v>
      </c>
      <c r="F54" s="130">
        <v>0</v>
      </c>
      <c r="G54" s="123"/>
      <c r="H54" s="123">
        <v>0</v>
      </c>
      <c r="I54" s="123">
        <v>0</v>
      </c>
      <c r="J54" s="130">
        <v>0</v>
      </c>
      <c r="K54" s="130">
        <v>0</v>
      </c>
      <c r="L54" s="130"/>
      <c r="M54" s="130">
        <v>0</v>
      </c>
      <c r="N54" s="130">
        <v>0</v>
      </c>
      <c r="O54" s="130"/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f>SUM(D54:W54)</f>
        <v>0</v>
      </c>
    </row>
    <row r="55" spans="1:24" ht="18" x14ac:dyDescent="0.4">
      <c r="B55" s="509"/>
      <c r="C55" s="505"/>
      <c r="D55" s="130"/>
      <c r="E55" s="130"/>
      <c r="F55" s="130"/>
      <c r="G55" s="123"/>
      <c r="H55" s="123">
        <v>0</v>
      </c>
      <c r="I55" s="123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</row>
    <row r="56" spans="1:24" ht="18" x14ac:dyDescent="0.4">
      <c r="A56" s="473" t="s">
        <v>221</v>
      </c>
      <c r="B56" s="509"/>
      <c r="C56" s="505"/>
      <c r="D56" s="130"/>
      <c r="E56" s="130"/>
      <c r="F56" s="130"/>
      <c r="G56" s="123"/>
      <c r="H56" s="123"/>
      <c r="I56" s="123"/>
      <c r="J56" s="130">
        <v>0</v>
      </c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</row>
    <row r="57" spans="1:24" ht="18" x14ac:dyDescent="0.4">
      <c r="A57" s="473" t="s">
        <v>222</v>
      </c>
      <c r="B57" s="509"/>
      <c r="C57" s="505"/>
      <c r="D57" s="130"/>
      <c r="E57" s="130"/>
      <c r="F57" s="130"/>
      <c r="G57" s="123"/>
      <c r="H57" s="123"/>
      <c r="I57" s="123"/>
      <c r="J57" s="130"/>
      <c r="K57" s="130"/>
      <c r="L57" s="130"/>
      <c r="M57" s="130"/>
      <c r="N57" s="130">
        <v>0</v>
      </c>
      <c r="O57" s="130"/>
      <c r="P57" s="130"/>
      <c r="Q57" s="130"/>
      <c r="R57" s="130"/>
      <c r="S57" s="130"/>
      <c r="T57" s="130"/>
      <c r="U57" s="130"/>
      <c r="V57" s="130"/>
      <c r="W57" s="130"/>
      <c r="X57" s="130"/>
    </row>
    <row r="58" spans="1:24" ht="18" x14ac:dyDescent="0.4">
      <c r="A58" s="473" t="s">
        <v>223</v>
      </c>
      <c r="B58" s="509"/>
      <c r="C58" s="505"/>
      <c r="D58" s="130"/>
      <c r="E58" s="130"/>
      <c r="F58" s="130"/>
      <c r="G58" s="123"/>
      <c r="H58" s="123"/>
      <c r="I58" s="123"/>
      <c r="J58" s="130"/>
      <c r="K58" s="130"/>
      <c r="L58" s="130"/>
      <c r="M58" s="130"/>
      <c r="N58" s="130">
        <v>0</v>
      </c>
      <c r="O58" s="130"/>
      <c r="P58" s="130"/>
      <c r="Q58" s="130"/>
      <c r="R58" s="130"/>
      <c r="S58" s="130"/>
      <c r="T58" s="130"/>
      <c r="U58" s="130"/>
      <c r="V58" s="130"/>
      <c r="W58" s="130"/>
      <c r="X58" s="130"/>
    </row>
    <row r="59" spans="1:24" ht="18" x14ac:dyDescent="0.4">
      <c r="A59" s="473" t="s">
        <v>224</v>
      </c>
      <c r="B59" s="509"/>
      <c r="C59" s="505"/>
      <c r="D59" s="130"/>
      <c r="E59" s="130"/>
      <c r="F59" s="130"/>
      <c r="G59" s="123"/>
      <c r="H59" s="123"/>
      <c r="I59" s="123"/>
      <c r="J59" s="130"/>
      <c r="K59" s="130"/>
      <c r="L59" s="130"/>
      <c r="M59" s="130"/>
      <c r="N59" s="130">
        <v>0</v>
      </c>
      <c r="O59" s="130"/>
      <c r="P59" s="130"/>
      <c r="Q59" s="130"/>
      <c r="R59" s="130"/>
      <c r="S59" s="130"/>
      <c r="T59" s="130"/>
      <c r="U59" s="130"/>
      <c r="V59" s="130"/>
      <c r="W59" s="130"/>
      <c r="X59" s="130"/>
    </row>
    <row r="60" spans="1:24" ht="18" x14ac:dyDescent="0.4">
      <c r="A60" s="473" t="s">
        <v>271</v>
      </c>
      <c r="B60" s="509"/>
      <c r="C60" s="505"/>
      <c r="D60" s="130"/>
      <c r="E60" s="130"/>
      <c r="F60" s="130"/>
      <c r="G60" s="123"/>
      <c r="H60" s="123"/>
      <c r="I60" s="123"/>
      <c r="J60" s="130"/>
      <c r="K60" s="130">
        <v>0</v>
      </c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ht="18" x14ac:dyDescent="0.4">
      <c r="A61" s="473" t="s">
        <v>272</v>
      </c>
      <c r="B61" s="509"/>
      <c r="C61" s="505"/>
      <c r="D61" s="130"/>
      <c r="E61" s="130"/>
      <c r="F61" s="130"/>
      <c r="G61" s="123"/>
      <c r="H61" s="123"/>
      <c r="I61" s="123"/>
      <c r="J61" s="130"/>
      <c r="K61" s="130"/>
      <c r="L61" s="130">
        <v>0</v>
      </c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4" ht="18" x14ac:dyDescent="0.4">
      <c r="A62" s="473" t="s">
        <v>273</v>
      </c>
      <c r="B62" s="509"/>
      <c r="C62" s="505"/>
      <c r="D62" s="130"/>
      <c r="E62" s="130"/>
      <c r="F62" s="130"/>
      <c r="G62" s="123"/>
      <c r="H62" s="123"/>
      <c r="I62" s="123"/>
      <c r="J62" s="130"/>
      <c r="K62" s="130"/>
      <c r="L62" s="130"/>
      <c r="M62" s="130"/>
      <c r="N62" s="130"/>
      <c r="O62" s="130"/>
      <c r="P62" s="130"/>
      <c r="Q62" s="130"/>
      <c r="R62" s="130">
        <v>0</v>
      </c>
      <c r="S62" s="130"/>
      <c r="T62" s="130"/>
      <c r="U62" s="130"/>
      <c r="V62" s="130"/>
      <c r="W62" s="130"/>
      <c r="X62" s="130"/>
    </row>
    <row r="63" spans="1:24" ht="18" x14ac:dyDescent="0.4">
      <c r="A63" s="473" t="s">
        <v>274</v>
      </c>
      <c r="B63" s="509"/>
      <c r="C63" s="505"/>
      <c r="D63" s="130"/>
      <c r="E63" s="130"/>
      <c r="F63" s="130"/>
      <c r="G63" s="123"/>
      <c r="H63" s="123"/>
      <c r="I63" s="123"/>
      <c r="J63" s="130"/>
      <c r="K63" s="130"/>
      <c r="L63" s="130"/>
      <c r="M63" s="130"/>
      <c r="N63" s="130"/>
      <c r="O63" s="130"/>
      <c r="P63" s="130"/>
      <c r="Q63" s="130"/>
      <c r="R63" s="130">
        <v>0</v>
      </c>
      <c r="S63" s="130"/>
      <c r="T63" s="130"/>
      <c r="U63" s="130"/>
      <c r="V63" s="130"/>
      <c r="W63" s="130"/>
      <c r="X63" s="130"/>
    </row>
    <row r="64" spans="1:24" ht="18" x14ac:dyDescent="0.4">
      <c r="A64" s="473" t="s">
        <v>275</v>
      </c>
      <c r="B64" s="509"/>
      <c r="C64" s="505"/>
      <c r="D64" s="130"/>
      <c r="E64" s="130"/>
      <c r="F64" s="130"/>
      <c r="G64" s="123"/>
      <c r="H64" s="123"/>
      <c r="I64" s="123"/>
      <c r="J64" s="130"/>
      <c r="K64" s="130"/>
      <c r="L64" s="130"/>
      <c r="M64" s="130"/>
      <c r="N64" s="130"/>
      <c r="O64" s="130"/>
      <c r="P64" s="130"/>
      <c r="Q64" s="130"/>
      <c r="R64" s="130">
        <v>0</v>
      </c>
      <c r="S64" s="130">
        <v>0</v>
      </c>
      <c r="T64" s="130"/>
      <c r="U64" s="130"/>
      <c r="V64" s="130"/>
      <c r="W64" s="130"/>
      <c r="X64" s="130"/>
    </row>
    <row r="65" spans="1:24" ht="18" x14ac:dyDescent="0.4">
      <c r="A65" s="473" t="s">
        <v>276</v>
      </c>
      <c r="B65" s="509"/>
      <c r="C65" s="505"/>
      <c r="D65" s="130"/>
      <c r="E65" s="130"/>
      <c r="F65" s="130"/>
      <c r="G65" s="123"/>
      <c r="H65" s="123"/>
      <c r="I65" s="123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>
        <v>0</v>
      </c>
      <c r="W65" s="130"/>
      <c r="X65" s="130"/>
    </row>
    <row r="66" spans="1:24" ht="18" x14ac:dyDescent="0.4">
      <c r="A66" s="477" t="s">
        <v>324</v>
      </c>
      <c r="B66" s="509">
        <v>320300</v>
      </c>
      <c r="C66" s="505"/>
      <c r="D66" s="130"/>
      <c r="E66" s="130">
        <v>0</v>
      </c>
      <c r="F66" s="130">
        <v>0</v>
      </c>
      <c r="G66" s="130"/>
      <c r="H66" s="143"/>
      <c r="I66" s="143"/>
      <c r="J66" s="130"/>
      <c r="K66" s="130"/>
      <c r="L66" s="130"/>
      <c r="M66" s="130"/>
      <c r="N66" s="143"/>
      <c r="O66" s="143"/>
      <c r="P66" s="130"/>
      <c r="Q66" s="130"/>
      <c r="R66" s="130"/>
      <c r="S66" s="130"/>
      <c r="T66" s="130"/>
      <c r="U66" s="130"/>
      <c r="V66" s="130"/>
      <c r="W66" s="130"/>
      <c r="X66" s="130">
        <f t="shared" ref="X66:X75" si="6">SUM(D66:W66)</f>
        <v>0</v>
      </c>
    </row>
    <row r="67" spans="1:24" ht="18" x14ac:dyDescent="0.4">
      <c r="A67" s="478" t="s">
        <v>226</v>
      </c>
      <c r="B67" s="517"/>
      <c r="C67" s="526"/>
      <c r="D67" s="124"/>
      <c r="E67" s="124">
        <v>0</v>
      </c>
      <c r="F67" s="124">
        <v>0</v>
      </c>
      <c r="G67" s="124"/>
      <c r="H67" s="165"/>
      <c r="I67" s="165"/>
      <c r="J67" s="124"/>
      <c r="K67" s="124"/>
      <c r="L67" s="124"/>
      <c r="M67" s="124"/>
      <c r="N67" s="165"/>
      <c r="O67" s="165"/>
      <c r="P67" s="124"/>
      <c r="Q67" s="124"/>
      <c r="R67" s="124"/>
      <c r="S67" s="124"/>
      <c r="T67" s="124"/>
      <c r="U67" s="124"/>
      <c r="V67" s="124"/>
      <c r="W67" s="124"/>
      <c r="X67" s="130">
        <f t="shared" si="6"/>
        <v>0</v>
      </c>
    </row>
    <row r="68" spans="1:24" ht="18" x14ac:dyDescent="0.4">
      <c r="A68" s="473" t="s">
        <v>227</v>
      </c>
      <c r="B68" s="509"/>
      <c r="C68" s="505">
        <v>3000</v>
      </c>
      <c r="D68" s="130">
        <v>0</v>
      </c>
      <c r="E68" s="130">
        <v>0</v>
      </c>
      <c r="F68" s="130">
        <v>0</v>
      </c>
      <c r="G68" s="130"/>
      <c r="H68" s="130">
        <v>0</v>
      </c>
      <c r="I68" s="123">
        <v>0</v>
      </c>
      <c r="J68" s="130">
        <v>0</v>
      </c>
      <c r="K68" s="130">
        <v>0</v>
      </c>
      <c r="L68" s="130"/>
      <c r="M68" s="130">
        <v>0</v>
      </c>
      <c r="N68" s="130">
        <v>0</v>
      </c>
      <c r="O68" s="130"/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f t="shared" si="6"/>
        <v>0</v>
      </c>
    </row>
    <row r="69" spans="1:24" ht="18" x14ac:dyDescent="0.4">
      <c r="A69" s="473" t="s">
        <v>563</v>
      </c>
      <c r="B69" s="509"/>
      <c r="C69" s="505">
        <v>3000</v>
      </c>
      <c r="D69" s="130"/>
      <c r="E69" s="130"/>
      <c r="F69" s="130"/>
      <c r="G69" s="123"/>
      <c r="H69" s="123"/>
      <c r="I69" s="123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</row>
    <row r="70" spans="1:24" ht="18" x14ac:dyDescent="0.4">
      <c r="A70" s="473" t="s">
        <v>278</v>
      </c>
      <c r="B70" s="509"/>
      <c r="C70" s="505">
        <v>5000</v>
      </c>
      <c r="D70" s="130">
        <v>0</v>
      </c>
      <c r="E70" s="130">
        <v>0</v>
      </c>
      <c r="F70" s="130">
        <v>0</v>
      </c>
      <c r="G70" s="123"/>
      <c r="H70" s="123">
        <v>0</v>
      </c>
      <c r="I70" s="130">
        <v>0</v>
      </c>
      <c r="J70" s="130">
        <v>0</v>
      </c>
      <c r="K70" s="130">
        <v>0</v>
      </c>
      <c r="L70" s="130"/>
      <c r="M70" s="130">
        <v>0</v>
      </c>
      <c r="N70" s="130">
        <v>0</v>
      </c>
      <c r="O70" s="130"/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f t="shared" si="6"/>
        <v>0</v>
      </c>
    </row>
    <row r="71" spans="1:24" ht="18" x14ac:dyDescent="0.4">
      <c r="A71" s="475" t="s">
        <v>279</v>
      </c>
      <c r="B71" s="510"/>
      <c r="C71" s="523">
        <f>20000+10000</f>
        <v>30000</v>
      </c>
      <c r="D71" s="123"/>
      <c r="E71" s="123">
        <v>0</v>
      </c>
      <c r="F71" s="123">
        <v>0</v>
      </c>
      <c r="G71" s="123"/>
      <c r="H71" s="139"/>
      <c r="I71" s="139"/>
      <c r="J71" s="123"/>
      <c r="K71" s="123"/>
      <c r="L71" s="123"/>
      <c r="M71" s="123"/>
      <c r="N71" s="139"/>
      <c r="O71" s="139"/>
      <c r="P71" s="123">
        <v>0</v>
      </c>
      <c r="Q71" s="123"/>
      <c r="R71" s="123"/>
      <c r="S71" s="123"/>
      <c r="T71" s="123"/>
      <c r="U71" s="123"/>
      <c r="V71" s="123"/>
      <c r="W71" s="123"/>
      <c r="X71" s="130">
        <f t="shared" si="6"/>
        <v>0</v>
      </c>
    </row>
    <row r="72" spans="1:24" ht="18" x14ac:dyDescent="0.4">
      <c r="A72" s="479" t="s">
        <v>564</v>
      </c>
      <c r="B72" s="510"/>
      <c r="C72" s="523">
        <v>3000</v>
      </c>
      <c r="D72" s="123"/>
      <c r="E72" s="123"/>
      <c r="F72" s="123"/>
      <c r="G72" s="123"/>
      <c r="H72" s="139"/>
      <c r="I72" s="139"/>
      <c r="J72" s="123"/>
      <c r="K72" s="123"/>
      <c r="L72" s="123"/>
      <c r="M72" s="123"/>
      <c r="N72" s="139"/>
      <c r="O72" s="139"/>
      <c r="P72" s="123"/>
      <c r="Q72" s="123"/>
      <c r="R72" s="123"/>
      <c r="S72" s="123"/>
      <c r="T72" s="123"/>
      <c r="U72" s="123"/>
      <c r="V72" s="123"/>
      <c r="W72" s="123"/>
      <c r="X72" s="130"/>
    </row>
    <row r="73" spans="1:24" ht="18" x14ac:dyDescent="0.4">
      <c r="A73" s="479" t="s">
        <v>565</v>
      </c>
      <c r="B73" s="510"/>
      <c r="C73" s="523">
        <v>50000</v>
      </c>
      <c r="D73" s="123"/>
      <c r="E73" s="123"/>
      <c r="F73" s="123"/>
      <c r="G73" s="123"/>
      <c r="H73" s="139"/>
      <c r="I73" s="139"/>
      <c r="J73" s="123"/>
      <c r="K73" s="123"/>
      <c r="L73" s="123"/>
      <c r="M73" s="123"/>
      <c r="N73" s="139"/>
      <c r="O73" s="139"/>
      <c r="P73" s="123"/>
      <c r="Q73" s="123"/>
      <c r="R73" s="123"/>
      <c r="S73" s="123"/>
      <c r="T73" s="123"/>
      <c r="U73" s="123"/>
      <c r="V73" s="123"/>
      <c r="W73" s="123"/>
      <c r="X73" s="130"/>
    </row>
    <row r="74" spans="1:24" ht="18" x14ac:dyDescent="0.4">
      <c r="A74" s="473" t="s">
        <v>566</v>
      </c>
      <c r="B74" s="509"/>
      <c r="C74" s="505">
        <v>50000</v>
      </c>
      <c r="D74" s="130">
        <v>0</v>
      </c>
      <c r="E74" s="130">
        <v>0</v>
      </c>
      <c r="F74" s="130">
        <v>0</v>
      </c>
      <c r="G74" s="123"/>
      <c r="H74" s="123">
        <v>0</v>
      </c>
      <c r="I74" s="123">
        <v>0</v>
      </c>
      <c r="J74" s="130">
        <v>0</v>
      </c>
      <c r="K74" s="130">
        <v>0</v>
      </c>
      <c r="L74" s="130"/>
      <c r="M74" s="130">
        <v>0</v>
      </c>
      <c r="N74" s="143">
        <v>0</v>
      </c>
      <c r="O74" s="143"/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f t="shared" si="6"/>
        <v>0</v>
      </c>
    </row>
    <row r="75" spans="1:24" ht="18" x14ac:dyDescent="0.4">
      <c r="A75" s="479" t="s">
        <v>587</v>
      </c>
      <c r="B75" s="509"/>
      <c r="C75" s="505">
        <v>70000</v>
      </c>
      <c r="D75" s="130">
        <v>0</v>
      </c>
      <c r="E75" s="130">
        <v>0</v>
      </c>
      <c r="F75" s="130">
        <v>0</v>
      </c>
      <c r="G75" s="123"/>
      <c r="H75" s="123">
        <v>0</v>
      </c>
      <c r="I75" s="130">
        <v>0</v>
      </c>
      <c r="J75" s="130">
        <v>0</v>
      </c>
      <c r="K75" s="130">
        <v>0</v>
      </c>
      <c r="L75" s="130"/>
      <c r="M75" s="130">
        <v>0</v>
      </c>
      <c r="N75" s="130">
        <v>0</v>
      </c>
      <c r="O75" s="130"/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f t="shared" si="6"/>
        <v>0</v>
      </c>
    </row>
    <row r="76" spans="1:24" ht="18" x14ac:dyDescent="0.4">
      <c r="A76" s="473" t="s">
        <v>588</v>
      </c>
      <c r="B76" s="509"/>
      <c r="C76" s="505">
        <v>60000</v>
      </c>
      <c r="D76" s="130"/>
      <c r="E76" s="130"/>
      <c r="F76" s="130"/>
      <c r="G76" s="123"/>
      <c r="H76" s="123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spans="1:24" s="136" customFormat="1" ht="18" x14ac:dyDescent="0.4">
      <c r="A77" s="479" t="s">
        <v>589</v>
      </c>
      <c r="B77" s="514"/>
      <c r="C77" s="524">
        <v>20000</v>
      </c>
      <c r="D77" s="130"/>
      <c r="E77" s="130"/>
      <c r="F77" s="130"/>
      <c r="G77" s="130"/>
      <c r="H77" s="143">
        <v>0</v>
      </c>
      <c r="I77" s="143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>
        <f>SUM(D77:W77)</f>
        <v>0</v>
      </c>
    </row>
    <row r="78" spans="1:24" s="136" customFormat="1" ht="18" x14ac:dyDescent="0.4">
      <c r="A78" s="473" t="s">
        <v>280</v>
      </c>
      <c r="B78" s="509"/>
      <c r="C78" s="523"/>
      <c r="D78" s="123">
        <v>0</v>
      </c>
      <c r="E78" s="123"/>
      <c r="F78" s="123">
        <v>0</v>
      </c>
      <c r="G78" s="123">
        <v>0</v>
      </c>
      <c r="H78" s="139">
        <v>0</v>
      </c>
      <c r="I78" s="130">
        <v>0</v>
      </c>
      <c r="J78" s="123">
        <v>0</v>
      </c>
      <c r="K78" s="123">
        <v>0</v>
      </c>
      <c r="L78" s="123"/>
      <c r="M78" s="123">
        <v>0</v>
      </c>
      <c r="N78" s="123">
        <v>0</v>
      </c>
      <c r="O78" s="123"/>
      <c r="P78" s="123">
        <v>0</v>
      </c>
      <c r="Q78" s="123"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30">
        <f>SUM(D78:W78)</f>
        <v>0</v>
      </c>
    </row>
    <row r="79" spans="1:24" ht="18" x14ac:dyDescent="0.4">
      <c r="A79" s="479" t="s">
        <v>281</v>
      </c>
      <c r="B79" s="514"/>
      <c r="C79" s="524"/>
      <c r="D79" s="130"/>
      <c r="E79" s="130"/>
      <c r="F79" s="130"/>
      <c r="G79" s="130"/>
      <c r="H79" s="143">
        <v>0</v>
      </c>
      <c r="I79" s="143"/>
      <c r="J79" s="130">
        <v>0</v>
      </c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>
        <f>SUM(D79:W79)</f>
        <v>0</v>
      </c>
    </row>
    <row r="80" spans="1:24" ht="18" x14ac:dyDescent="0.4">
      <c r="A80" s="473" t="s">
        <v>282</v>
      </c>
      <c r="B80" s="514"/>
      <c r="C80" s="524"/>
      <c r="D80" s="130"/>
      <c r="E80" s="130"/>
      <c r="F80" s="168">
        <v>0</v>
      </c>
      <c r="G80" s="169"/>
      <c r="H80" s="123">
        <v>0</v>
      </c>
      <c r="I80" s="130">
        <v>0</v>
      </c>
      <c r="J80" s="168">
        <v>0</v>
      </c>
      <c r="K80" s="130">
        <v>0</v>
      </c>
      <c r="L80" s="123"/>
      <c r="M80" s="123">
        <v>0</v>
      </c>
      <c r="N80" s="123">
        <v>0</v>
      </c>
      <c r="O80" s="123"/>
      <c r="P80" s="168" t="s">
        <v>230</v>
      </c>
      <c r="Q80" s="168" t="s">
        <v>230</v>
      </c>
      <c r="R80" s="168" t="s">
        <v>230</v>
      </c>
      <c r="S80" s="168" t="s">
        <v>230</v>
      </c>
      <c r="T80" s="168" t="s">
        <v>230</v>
      </c>
      <c r="U80" s="168" t="s">
        <v>230</v>
      </c>
      <c r="V80" s="168" t="s">
        <v>230</v>
      </c>
      <c r="W80" s="168" t="s">
        <v>230</v>
      </c>
      <c r="X80" s="130">
        <f>SUM(D80:W80)</f>
        <v>0</v>
      </c>
    </row>
    <row r="81" spans="1:24" s="170" customFormat="1" ht="18" x14ac:dyDescent="0.4">
      <c r="A81" s="473" t="s">
        <v>283</v>
      </c>
      <c r="B81" s="509"/>
      <c r="C81" s="505"/>
      <c r="D81" s="130"/>
      <c r="E81" s="130"/>
      <c r="F81" s="130"/>
      <c r="G81" s="130"/>
      <c r="H81" s="143"/>
      <c r="I81" s="143">
        <v>0</v>
      </c>
      <c r="J81" s="130"/>
      <c r="K81" s="130"/>
      <c r="L81" s="130"/>
      <c r="M81" s="130"/>
      <c r="N81" s="130"/>
      <c r="O81" s="130">
        <v>0</v>
      </c>
      <c r="P81" s="130"/>
      <c r="Q81" s="130"/>
      <c r="R81" s="130"/>
      <c r="S81" s="130"/>
      <c r="T81" s="130"/>
      <c r="U81" s="130"/>
      <c r="V81" s="130"/>
      <c r="W81" s="130"/>
      <c r="X81" s="130">
        <f>SUM(D81:W81)</f>
        <v>0</v>
      </c>
    </row>
    <row r="82" spans="1:24" s="171" customFormat="1" ht="18" x14ac:dyDescent="0.4">
      <c r="A82" s="480" t="s">
        <v>284</v>
      </c>
      <c r="B82" s="515"/>
      <c r="C82" s="525"/>
      <c r="D82" s="149"/>
      <c r="E82" s="149"/>
      <c r="F82" s="149"/>
      <c r="G82" s="149"/>
      <c r="H82" s="150"/>
      <c r="I82" s="150"/>
      <c r="J82" s="149"/>
      <c r="K82" s="149"/>
      <c r="L82" s="149"/>
      <c r="M82" s="149"/>
      <c r="N82" s="149"/>
      <c r="O82" s="149">
        <v>0</v>
      </c>
      <c r="P82" s="149"/>
      <c r="Q82" s="149"/>
      <c r="R82" s="149"/>
      <c r="S82" s="149"/>
      <c r="T82" s="149"/>
      <c r="U82" s="124"/>
      <c r="V82" s="149"/>
      <c r="W82" s="149"/>
      <c r="X82" s="130"/>
    </row>
    <row r="83" spans="1:24" s="170" customFormat="1" ht="18" x14ac:dyDescent="0.4">
      <c r="A83" s="473" t="s">
        <v>285</v>
      </c>
      <c r="B83" s="509"/>
      <c r="C83" s="505"/>
      <c r="D83" s="130">
        <v>0</v>
      </c>
      <c r="E83" s="130" t="s">
        <v>230</v>
      </c>
      <c r="F83" s="130">
        <v>0</v>
      </c>
      <c r="G83" s="130"/>
      <c r="H83" s="130">
        <v>0</v>
      </c>
      <c r="I83" s="143">
        <v>0</v>
      </c>
      <c r="J83" s="168" t="s">
        <v>230</v>
      </c>
      <c r="K83" s="130">
        <v>0</v>
      </c>
      <c r="L83" s="130"/>
      <c r="M83" s="130">
        <v>0</v>
      </c>
      <c r="N83" s="130">
        <v>0</v>
      </c>
      <c r="O83" s="130"/>
      <c r="P83" s="130">
        <v>0</v>
      </c>
      <c r="Q83" s="130">
        <v>0</v>
      </c>
      <c r="R83" s="130">
        <v>0</v>
      </c>
      <c r="S83" s="130">
        <v>0</v>
      </c>
      <c r="T83" s="130">
        <v>0</v>
      </c>
      <c r="U83" s="172">
        <f>SUM(U94:U98)</f>
        <v>0</v>
      </c>
      <c r="V83" s="130">
        <v>0</v>
      </c>
      <c r="W83" s="130">
        <v>0</v>
      </c>
      <c r="X83" s="130">
        <f t="shared" ref="X83:X89" si="7">SUM(D83:W83)</f>
        <v>0</v>
      </c>
    </row>
    <row r="84" spans="1:24" ht="18" x14ac:dyDescent="0.4">
      <c r="A84" s="475" t="s">
        <v>286</v>
      </c>
      <c r="B84" s="510">
        <v>320300</v>
      </c>
      <c r="C84" s="523"/>
      <c r="D84" s="123">
        <v>0</v>
      </c>
      <c r="E84" s="123">
        <v>0</v>
      </c>
      <c r="F84" s="123">
        <v>0</v>
      </c>
      <c r="G84" s="123"/>
      <c r="H84" s="123">
        <v>0</v>
      </c>
      <c r="I84" s="123">
        <v>0</v>
      </c>
      <c r="J84" s="123">
        <v>0</v>
      </c>
      <c r="K84" s="123">
        <v>0</v>
      </c>
      <c r="L84" s="123"/>
      <c r="M84" s="123">
        <v>0</v>
      </c>
      <c r="N84" s="123">
        <v>0</v>
      </c>
      <c r="O84" s="123"/>
      <c r="P84" s="123">
        <v>0</v>
      </c>
      <c r="Q84" s="123"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f t="shared" si="7"/>
        <v>0</v>
      </c>
    </row>
    <row r="85" spans="1:24" ht="18" x14ac:dyDescent="0.4">
      <c r="A85" s="473" t="s">
        <v>287</v>
      </c>
      <c r="B85" s="509">
        <v>320300</v>
      </c>
      <c r="C85" s="505"/>
      <c r="D85" s="130">
        <v>0</v>
      </c>
      <c r="E85" s="130">
        <v>0</v>
      </c>
      <c r="F85" s="130">
        <v>0</v>
      </c>
      <c r="G85" s="130"/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30">
        <v>0</v>
      </c>
      <c r="O85" s="130"/>
      <c r="P85" s="130">
        <v>0</v>
      </c>
      <c r="Q85" s="130">
        <v>0</v>
      </c>
      <c r="R85" s="130">
        <v>0</v>
      </c>
      <c r="S85" s="130"/>
      <c r="T85" s="143">
        <v>0</v>
      </c>
      <c r="U85" s="130">
        <v>0</v>
      </c>
      <c r="V85" s="130">
        <v>0</v>
      </c>
      <c r="W85" s="130">
        <v>0</v>
      </c>
      <c r="X85" s="130">
        <f t="shared" si="7"/>
        <v>0</v>
      </c>
    </row>
    <row r="86" spans="1:24" ht="18" x14ac:dyDescent="0.4">
      <c r="A86" s="473" t="s">
        <v>288</v>
      </c>
      <c r="B86" s="509">
        <v>320300</v>
      </c>
      <c r="C86" s="505"/>
      <c r="D86" s="130">
        <v>0</v>
      </c>
      <c r="E86" s="130">
        <v>0</v>
      </c>
      <c r="F86" s="130">
        <v>0</v>
      </c>
      <c r="G86" s="130"/>
      <c r="H86" s="130">
        <v>0</v>
      </c>
      <c r="I86" s="130">
        <v>0</v>
      </c>
      <c r="J86" s="130">
        <v>0</v>
      </c>
      <c r="K86" s="130">
        <v>0</v>
      </c>
      <c r="L86" s="130"/>
      <c r="M86" s="130">
        <v>0</v>
      </c>
      <c r="N86" s="130">
        <v>0</v>
      </c>
      <c r="O86" s="130"/>
      <c r="P86" s="130">
        <v>0</v>
      </c>
      <c r="Q86" s="130">
        <v>0</v>
      </c>
      <c r="R86" s="130">
        <v>0</v>
      </c>
      <c r="S86" s="123">
        <v>0</v>
      </c>
      <c r="T86" s="143">
        <v>0</v>
      </c>
      <c r="U86" s="130">
        <v>0</v>
      </c>
      <c r="V86" s="130">
        <v>0</v>
      </c>
      <c r="W86" s="130">
        <v>0</v>
      </c>
      <c r="X86" s="130">
        <f t="shared" si="7"/>
        <v>0</v>
      </c>
    </row>
    <row r="87" spans="1:24" ht="18" x14ac:dyDescent="0.4">
      <c r="A87" s="475" t="s">
        <v>289</v>
      </c>
      <c r="B87" s="510">
        <v>320300</v>
      </c>
      <c r="C87" s="523"/>
      <c r="D87" s="123">
        <v>0</v>
      </c>
      <c r="E87" s="123">
        <v>0</v>
      </c>
      <c r="F87" s="123">
        <v>0</v>
      </c>
      <c r="G87" s="123"/>
      <c r="H87" s="123">
        <v>0</v>
      </c>
      <c r="I87" s="123">
        <v>0</v>
      </c>
      <c r="J87" s="123">
        <v>0</v>
      </c>
      <c r="K87" s="130">
        <v>0</v>
      </c>
      <c r="L87" s="123"/>
      <c r="M87" s="123">
        <v>0</v>
      </c>
      <c r="N87" s="123">
        <v>0</v>
      </c>
      <c r="O87" s="123"/>
      <c r="P87" s="123">
        <v>0</v>
      </c>
      <c r="Q87" s="123">
        <v>0</v>
      </c>
      <c r="R87" s="123">
        <v>0</v>
      </c>
      <c r="S87" s="130">
        <v>0</v>
      </c>
      <c r="T87" s="139">
        <v>0</v>
      </c>
      <c r="U87" s="123">
        <v>0</v>
      </c>
      <c r="V87" s="123">
        <v>0</v>
      </c>
      <c r="W87" s="123">
        <v>0</v>
      </c>
      <c r="X87" s="123">
        <f t="shared" si="7"/>
        <v>0</v>
      </c>
    </row>
    <row r="88" spans="1:24" ht="18" x14ac:dyDescent="0.4">
      <c r="A88" s="473" t="s">
        <v>290</v>
      </c>
      <c r="B88" s="509">
        <v>320300</v>
      </c>
      <c r="C88" s="505"/>
      <c r="D88" s="130"/>
      <c r="E88" s="130"/>
      <c r="F88" s="130"/>
      <c r="G88" s="130"/>
      <c r="H88" s="130"/>
      <c r="I88" s="130"/>
      <c r="J88" s="130"/>
      <c r="K88" s="123">
        <v>0</v>
      </c>
      <c r="L88" s="123"/>
      <c r="M88" s="130">
        <v>0</v>
      </c>
      <c r="N88" s="130"/>
      <c r="O88" s="130"/>
      <c r="P88" s="130"/>
      <c r="Q88" s="130"/>
      <c r="R88" s="130">
        <v>0</v>
      </c>
      <c r="S88" s="130">
        <v>0</v>
      </c>
      <c r="T88" s="130">
        <v>0</v>
      </c>
      <c r="U88" s="130">
        <v>0</v>
      </c>
      <c r="V88" s="130"/>
      <c r="W88" s="130"/>
      <c r="X88" s="130">
        <f t="shared" si="7"/>
        <v>0</v>
      </c>
    </row>
    <row r="89" spans="1:24" ht="18" x14ac:dyDescent="0.4">
      <c r="A89" s="473" t="s">
        <v>291</v>
      </c>
      <c r="B89" s="509"/>
      <c r="C89" s="527"/>
      <c r="D89" s="130"/>
      <c r="E89" s="130"/>
      <c r="F89" s="130"/>
      <c r="G89" s="130"/>
      <c r="H89" s="130"/>
      <c r="I89" s="130"/>
      <c r="J89" s="130"/>
      <c r="K89" s="130"/>
      <c r="L89" s="130"/>
      <c r="M89" s="130">
        <v>0</v>
      </c>
      <c r="N89" s="130"/>
      <c r="O89" s="130"/>
      <c r="P89" s="130"/>
      <c r="Q89" s="130"/>
      <c r="R89" s="130"/>
      <c r="S89" s="130"/>
      <c r="T89" s="130">
        <v>0</v>
      </c>
      <c r="U89" s="123">
        <v>0</v>
      </c>
      <c r="V89" s="130">
        <v>0</v>
      </c>
      <c r="W89" s="130"/>
      <c r="X89" s="130">
        <f t="shared" si="7"/>
        <v>0</v>
      </c>
    </row>
    <row r="90" spans="1:24" s="100" customFormat="1" ht="23.25" x14ac:dyDescent="0.5">
      <c r="A90" s="904" t="s">
        <v>76</v>
      </c>
      <c r="B90" s="904"/>
      <c r="C90" s="904"/>
      <c r="D90" s="904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4"/>
      <c r="U90" s="904"/>
      <c r="V90" s="904"/>
      <c r="W90" s="904"/>
      <c r="X90" s="904"/>
    </row>
    <row r="91" spans="1:24" s="100" customFormat="1" ht="23.25" x14ac:dyDescent="0.5">
      <c r="A91" s="904" t="s">
        <v>332</v>
      </c>
      <c r="B91" s="904"/>
      <c r="C91" s="904"/>
      <c r="D91" s="904"/>
      <c r="E91" s="904"/>
      <c r="F91" s="904"/>
      <c r="G91" s="904"/>
      <c r="H91" s="904"/>
      <c r="I91" s="904"/>
      <c r="J91" s="904"/>
      <c r="K91" s="904"/>
      <c r="L91" s="904"/>
      <c r="M91" s="904"/>
      <c r="N91" s="904"/>
      <c r="O91" s="904"/>
      <c r="P91" s="904"/>
      <c r="Q91" s="904"/>
      <c r="R91" s="904"/>
      <c r="S91" s="904"/>
      <c r="T91" s="904"/>
      <c r="U91" s="904"/>
      <c r="V91" s="904"/>
      <c r="W91" s="904"/>
      <c r="X91" s="904"/>
    </row>
    <row r="92" spans="1:24" s="100" customFormat="1" ht="23.25" x14ac:dyDescent="0.5">
      <c r="A92" s="904" t="s">
        <v>497</v>
      </c>
      <c r="B92" s="904"/>
      <c r="C92" s="904"/>
      <c r="D92" s="904"/>
      <c r="E92" s="904"/>
      <c r="F92" s="904"/>
      <c r="G92" s="904"/>
      <c r="H92" s="904"/>
      <c r="I92" s="904"/>
      <c r="J92" s="904"/>
      <c r="K92" s="904"/>
      <c r="L92" s="904"/>
      <c r="M92" s="904"/>
      <c r="N92" s="904"/>
      <c r="O92" s="904"/>
      <c r="P92" s="904"/>
      <c r="Q92" s="904"/>
      <c r="R92" s="904"/>
      <c r="S92" s="904"/>
      <c r="T92" s="904"/>
      <c r="U92" s="904"/>
      <c r="V92" s="904"/>
      <c r="W92" s="904"/>
      <c r="X92" s="904"/>
    </row>
    <row r="93" spans="1:24" s="166" customFormat="1" ht="18" x14ac:dyDescent="0.4">
      <c r="A93" s="101"/>
      <c r="B93" s="102"/>
      <c r="C93" s="468"/>
      <c r="D93" s="103" t="s">
        <v>41</v>
      </c>
      <c r="E93" s="914" t="s">
        <v>110</v>
      </c>
      <c r="F93" s="915"/>
      <c r="G93" s="927" t="s">
        <v>111</v>
      </c>
      <c r="H93" s="928"/>
      <c r="I93" s="913" t="s">
        <v>112</v>
      </c>
      <c r="J93" s="916"/>
      <c r="K93" s="929" t="s">
        <v>113</v>
      </c>
      <c r="L93" s="930"/>
      <c r="M93" s="151" t="s">
        <v>113</v>
      </c>
      <c r="N93" s="927" t="s">
        <v>113</v>
      </c>
      <c r="O93" s="916"/>
      <c r="P93" s="913" t="s">
        <v>114</v>
      </c>
      <c r="Q93" s="914"/>
      <c r="R93" s="913" t="s">
        <v>115</v>
      </c>
      <c r="S93" s="914"/>
      <c r="T93" s="915"/>
      <c r="U93" s="913" t="s">
        <v>201</v>
      </c>
      <c r="V93" s="916"/>
      <c r="W93" s="151" t="s">
        <v>113</v>
      </c>
      <c r="X93" s="104"/>
    </row>
    <row r="94" spans="1:24" ht="18" x14ac:dyDescent="0.4">
      <c r="A94" s="105"/>
      <c r="B94" s="106"/>
      <c r="C94" s="469"/>
      <c r="D94" s="107"/>
      <c r="E94" s="917"/>
      <c r="F94" s="918"/>
      <c r="G94" s="919" t="s">
        <v>202</v>
      </c>
      <c r="H94" s="920"/>
      <c r="I94" s="251"/>
      <c r="J94" s="215"/>
      <c r="K94" s="921" t="s">
        <v>118</v>
      </c>
      <c r="L94" s="922"/>
      <c r="M94" s="113" t="s">
        <v>119</v>
      </c>
      <c r="N94" s="919" t="s">
        <v>120</v>
      </c>
      <c r="O94" s="923"/>
      <c r="P94" s="214"/>
      <c r="Q94" s="108"/>
      <c r="R94" s="921" t="s">
        <v>121</v>
      </c>
      <c r="S94" s="924"/>
      <c r="T94" s="922"/>
      <c r="U94" s="921" t="s">
        <v>203</v>
      </c>
      <c r="V94" s="923"/>
      <c r="W94" s="252" t="s">
        <v>122</v>
      </c>
      <c r="X94" s="109"/>
    </row>
    <row r="95" spans="1:24" ht="18" x14ac:dyDescent="0.4">
      <c r="A95" s="105" t="s">
        <v>123</v>
      </c>
      <c r="B95" s="106"/>
      <c r="C95" s="469"/>
      <c r="D95" s="110" t="s">
        <v>204</v>
      </c>
      <c r="E95" s="917" t="s">
        <v>205</v>
      </c>
      <c r="F95" s="918"/>
      <c r="G95" s="212"/>
      <c r="H95" s="254" t="s">
        <v>126</v>
      </c>
      <c r="I95" s="936" t="s">
        <v>127</v>
      </c>
      <c r="J95" s="926"/>
      <c r="K95" s="937" t="s">
        <v>128</v>
      </c>
      <c r="L95" s="938"/>
      <c r="M95" s="110"/>
      <c r="N95" s="939" t="s">
        <v>129</v>
      </c>
      <c r="O95" s="926"/>
      <c r="P95" s="936" t="s">
        <v>130</v>
      </c>
      <c r="Q95" s="940"/>
      <c r="R95" s="936" t="s">
        <v>131</v>
      </c>
      <c r="S95" s="940"/>
      <c r="T95" s="941"/>
      <c r="U95" s="936" t="s">
        <v>132</v>
      </c>
      <c r="V95" s="926"/>
      <c r="W95" s="213"/>
      <c r="X95" s="109"/>
    </row>
    <row r="96" spans="1:24" ht="18" x14ac:dyDescent="0.4">
      <c r="A96" s="111"/>
      <c r="B96" s="152"/>
      <c r="C96" s="152"/>
      <c r="D96" s="103" t="s">
        <v>134</v>
      </c>
      <c r="E96" s="103" t="s">
        <v>135</v>
      </c>
      <c r="F96" s="103" t="s">
        <v>135</v>
      </c>
      <c r="G96" s="245" t="s">
        <v>136</v>
      </c>
      <c r="H96" s="245" t="s">
        <v>137</v>
      </c>
      <c r="I96" s="174" t="s">
        <v>228</v>
      </c>
      <c r="J96" s="103" t="s">
        <v>206</v>
      </c>
      <c r="K96" s="103" t="s">
        <v>140</v>
      </c>
      <c r="L96" s="103" t="s">
        <v>141</v>
      </c>
      <c r="M96" s="103" t="s">
        <v>142</v>
      </c>
      <c r="N96" s="174" t="s">
        <v>207</v>
      </c>
      <c r="O96" s="174" t="s">
        <v>208</v>
      </c>
      <c r="P96" s="103" t="s">
        <v>138</v>
      </c>
      <c r="Q96" s="103" t="s">
        <v>144</v>
      </c>
      <c r="R96" s="103" t="s">
        <v>145</v>
      </c>
      <c r="S96" s="113" t="s">
        <v>146</v>
      </c>
      <c r="T96" s="175" t="s">
        <v>147</v>
      </c>
      <c r="U96" s="114" t="s">
        <v>148</v>
      </c>
      <c r="V96" s="103" t="s">
        <v>149</v>
      </c>
      <c r="W96" s="103" t="s">
        <v>150</v>
      </c>
      <c r="X96" s="253" t="s">
        <v>151</v>
      </c>
    </row>
    <row r="97" spans="1:24" ht="18" x14ac:dyDescent="0.4">
      <c r="A97" s="105"/>
      <c r="B97" s="106"/>
      <c r="C97" s="469"/>
      <c r="D97" s="113"/>
      <c r="E97" s="113" t="s">
        <v>152</v>
      </c>
      <c r="F97" s="113" t="s">
        <v>153</v>
      </c>
      <c r="G97" s="246" t="s">
        <v>154</v>
      </c>
      <c r="H97" s="246" t="s">
        <v>155</v>
      </c>
      <c r="I97" s="176" t="s">
        <v>229</v>
      </c>
      <c r="J97" s="113" t="s">
        <v>209</v>
      </c>
      <c r="K97" s="113" t="s">
        <v>158</v>
      </c>
      <c r="L97" s="113" t="s">
        <v>159</v>
      </c>
      <c r="M97" s="113" t="s">
        <v>160</v>
      </c>
      <c r="N97" s="176" t="s">
        <v>161</v>
      </c>
      <c r="O97" s="176"/>
      <c r="P97" s="113" t="s">
        <v>163</v>
      </c>
      <c r="Q97" s="113" t="s">
        <v>164</v>
      </c>
      <c r="R97" s="113" t="s">
        <v>165</v>
      </c>
      <c r="S97" s="113" t="s">
        <v>166</v>
      </c>
      <c r="T97" s="175" t="s">
        <v>167</v>
      </c>
      <c r="U97" s="114" t="s">
        <v>168</v>
      </c>
      <c r="V97" s="113" t="s">
        <v>169</v>
      </c>
      <c r="W97" s="113" t="s">
        <v>170</v>
      </c>
      <c r="X97" s="109"/>
    </row>
    <row r="98" spans="1:24" ht="18" x14ac:dyDescent="0.4">
      <c r="A98" s="115"/>
      <c r="B98" s="116"/>
      <c r="C98" s="470"/>
      <c r="D98" s="110" t="s">
        <v>171</v>
      </c>
      <c r="E98" s="110" t="s">
        <v>172</v>
      </c>
      <c r="F98" s="110" t="s">
        <v>173</v>
      </c>
      <c r="G98" s="247" t="s">
        <v>174</v>
      </c>
      <c r="H98" s="247"/>
      <c r="I98" s="177"/>
      <c r="J98" s="110" t="s">
        <v>210</v>
      </c>
      <c r="K98" s="110"/>
      <c r="L98" s="117" t="s">
        <v>177</v>
      </c>
      <c r="M98" s="110"/>
      <c r="N98" s="177" t="s">
        <v>179</v>
      </c>
      <c r="O98" s="177"/>
      <c r="P98" s="110" t="s">
        <v>180</v>
      </c>
      <c r="Q98" s="110" t="s">
        <v>181</v>
      </c>
      <c r="R98" s="110" t="s">
        <v>182</v>
      </c>
      <c r="S98" s="117" t="s">
        <v>183</v>
      </c>
      <c r="T98" s="177" t="s">
        <v>184</v>
      </c>
      <c r="U98" s="110" t="s">
        <v>185</v>
      </c>
      <c r="V98" s="110" t="s">
        <v>186</v>
      </c>
      <c r="W98" s="110"/>
      <c r="X98" s="118"/>
    </row>
    <row r="99" spans="1:24" ht="20.25" customHeight="1" x14ac:dyDescent="0.4">
      <c r="A99" s="164" t="s">
        <v>323</v>
      </c>
      <c r="B99" s="513">
        <v>320400</v>
      </c>
      <c r="C99" s="528">
        <f>100000+10000+50000</f>
        <v>160000</v>
      </c>
      <c r="D99" s="130">
        <v>0</v>
      </c>
      <c r="E99" s="149">
        <v>0</v>
      </c>
      <c r="F99" s="149">
        <v>0</v>
      </c>
      <c r="G99" s="149"/>
      <c r="H99" s="149">
        <v>0</v>
      </c>
      <c r="I99" s="130">
        <v>0</v>
      </c>
      <c r="J99" s="130">
        <v>0</v>
      </c>
      <c r="K99" s="130">
        <v>0</v>
      </c>
      <c r="L99" s="130"/>
      <c r="M99" s="130">
        <v>0</v>
      </c>
      <c r="N99" s="130">
        <v>0</v>
      </c>
      <c r="O99" s="149"/>
      <c r="P99" s="149">
        <v>0</v>
      </c>
      <c r="Q99" s="130">
        <v>0</v>
      </c>
      <c r="R99" s="130">
        <v>0</v>
      </c>
      <c r="S99" s="130"/>
      <c r="T99" s="130">
        <v>0</v>
      </c>
      <c r="U99" s="149">
        <v>0</v>
      </c>
      <c r="V99" s="149">
        <v>0</v>
      </c>
      <c r="W99" s="130">
        <v>0</v>
      </c>
      <c r="X99" s="130">
        <f>SUM(D99:W99)</f>
        <v>0</v>
      </c>
    </row>
    <row r="100" spans="1:24" ht="18" x14ac:dyDescent="0.4">
      <c r="A100" s="133" t="s">
        <v>189</v>
      </c>
      <c r="B100" s="512"/>
      <c r="C100" s="506">
        <f>SUM(C99)</f>
        <v>160000</v>
      </c>
      <c r="D100" s="135">
        <f>SUM(D99:D99)</f>
        <v>0</v>
      </c>
      <c r="E100" s="135">
        <f t="shared" ref="E100:V100" si="8">SUM(E51:E99)</f>
        <v>0</v>
      </c>
      <c r="F100" s="135">
        <f t="shared" si="8"/>
        <v>0</v>
      </c>
      <c r="G100" s="135">
        <f t="shared" si="8"/>
        <v>0</v>
      </c>
      <c r="H100" s="135">
        <f t="shared" si="8"/>
        <v>0</v>
      </c>
      <c r="I100" s="135">
        <f t="shared" si="8"/>
        <v>0</v>
      </c>
      <c r="J100" s="135">
        <f t="shared" si="8"/>
        <v>0</v>
      </c>
      <c r="K100" s="135">
        <f t="shared" si="8"/>
        <v>0</v>
      </c>
      <c r="L100" s="135">
        <f t="shared" si="8"/>
        <v>0</v>
      </c>
      <c r="M100" s="135">
        <f t="shared" si="8"/>
        <v>0</v>
      </c>
      <c r="N100" s="135">
        <f t="shared" si="8"/>
        <v>0</v>
      </c>
      <c r="O100" s="135">
        <f t="shared" si="8"/>
        <v>0</v>
      </c>
      <c r="P100" s="135">
        <f t="shared" si="8"/>
        <v>0</v>
      </c>
      <c r="Q100" s="135">
        <f t="shared" si="8"/>
        <v>0</v>
      </c>
      <c r="R100" s="135">
        <f t="shared" si="8"/>
        <v>0</v>
      </c>
      <c r="S100" s="135">
        <f t="shared" si="8"/>
        <v>0</v>
      </c>
      <c r="T100" s="135">
        <f t="shared" si="8"/>
        <v>0</v>
      </c>
      <c r="U100" s="135">
        <f t="shared" si="8"/>
        <v>0</v>
      </c>
      <c r="V100" s="160">
        <f t="shared" si="8"/>
        <v>0</v>
      </c>
      <c r="W100" s="135">
        <f>SUM(W99:W99)</f>
        <v>0</v>
      </c>
      <c r="X100" s="135">
        <f>SUM(D100:W100)</f>
        <v>0</v>
      </c>
    </row>
    <row r="101" spans="1:24" ht="21" x14ac:dyDescent="0.45">
      <c r="A101" s="137" t="s">
        <v>232</v>
      </c>
      <c r="B101" s="513"/>
      <c r="C101" s="494"/>
      <c r="D101" s="123"/>
      <c r="E101" s="123"/>
      <c r="F101" s="123"/>
      <c r="G101" s="123"/>
      <c r="H101" s="139"/>
      <c r="I101" s="139"/>
      <c r="J101" s="123"/>
      <c r="K101" s="123"/>
      <c r="L101" s="123"/>
      <c r="M101" s="123"/>
      <c r="N101" s="139"/>
      <c r="O101" s="139"/>
      <c r="P101" s="123"/>
      <c r="Q101" s="123"/>
      <c r="R101" s="123"/>
      <c r="S101" s="123"/>
      <c r="T101" s="139"/>
      <c r="U101" s="123"/>
      <c r="V101" s="123"/>
      <c r="W101" s="123"/>
      <c r="X101" s="123"/>
    </row>
    <row r="102" spans="1:24" s="136" customFormat="1" ht="18" x14ac:dyDescent="0.4">
      <c r="A102" s="473" t="s">
        <v>293</v>
      </c>
      <c r="B102" s="507">
        <v>330100</v>
      </c>
      <c r="C102" s="505">
        <f>70000+30000</f>
        <v>100000</v>
      </c>
      <c r="D102" s="130">
        <v>0</v>
      </c>
      <c r="E102" s="130">
        <v>0</v>
      </c>
      <c r="F102" s="130">
        <v>0</v>
      </c>
      <c r="G102" s="130"/>
      <c r="H102" s="130">
        <v>0</v>
      </c>
      <c r="I102" s="130">
        <v>0</v>
      </c>
      <c r="J102" s="130">
        <v>0</v>
      </c>
      <c r="K102" s="130">
        <v>0</v>
      </c>
      <c r="L102" s="130"/>
      <c r="M102" s="130">
        <v>0</v>
      </c>
      <c r="N102" s="130">
        <v>0</v>
      </c>
      <c r="O102" s="130"/>
      <c r="P102" s="130">
        <v>0</v>
      </c>
      <c r="Q102" s="130">
        <v>0</v>
      </c>
      <c r="R102" s="130">
        <v>0</v>
      </c>
      <c r="S102" s="130"/>
      <c r="T102" s="130">
        <v>0</v>
      </c>
      <c r="U102" s="130">
        <v>0</v>
      </c>
      <c r="V102" s="130">
        <v>0</v>
      </c>
      <c r="W102" s="130">
        <v>0</v>
      </c>
      <c r="X102" s="130">
        <f>SUM(D102:W102)</f>
        <v>0</v>
      </c>
    </row>
    <row r="103" spans="1:24" s="136" customFormat="1" ht="18" x14ac:dyDescent="0.4">
      <c r="A103" s="473" t="s">
        <v>292</v>
      </c>
      <c r="B103" s="507">
        <v>330200</v>
      </c>
      <c r="C103" s="505">
        <f>30000+20000</f>
        <v>50000</v>
      </c>
      <c r="D103" s="130">
        <v>0</v>
      </c>
      <c r="E103" s="130">
        <v>0</v>
      </c>
      <c r="F103" s="130">
        <v>0</v>
      </c>
      <c r="G103" s="130"/>
      <c r="H103" s="130">
        <v>0</v>
      </c>
      <c r="I103" s="130">
        <v>0</v>
      </c>
      <c r="J103" s="130">
        <v>0</v>
      </c>
      <c r="K103" s="130">
        <v>0</v>
      </c>
      <c r="L103" s="130"/>
      <c r="M103" s="130">
        <v>0</v>
      </c>
      <c r="N103" s="130">
        <v>0</v>
      </c>
      <c r="O103" s="130"/>
      <c r="P103" s="130">
        <v>0</v>
      </c>
      <c r="Q103" s="130">
        <v>0</v>
      </c>
      <c r="R103" s="130">
        <v>0</v>
      </c>
      <c r="S103" s="130"/>
      <c r="T103" s="130">
        <v>0</v>
      </c>
      <c r="U103" s="130">
        <v>0</v>
      </c>
      <c r="V103" s="130">
        <v>0</v>
      </c>
      <c r="W103" s="130">
        <v>0</v>
      </c>
      <c r="X103" s="130">
        <f>SUM(D103:W103)</f>
        <v>0</v>
      </c>
    </row>
    <row r="104" spans="1:24" ht="18" x14ac:dyDescent="0.4">
      <c r="A104" s="473" t="s">
        <v>294</v>
      </c>
      <c r="B104" s="507">
        <v>330300</v>
      </c>
      <c r="C104" s="505">
        <v>20000</v>
      </c>
      <c r="D104" s="130">
        <v>0</v>
      </c>
      <c r="E104" s="130">
        <v>0</v>
      </c>
      <c r="F104" s="130">
        <v>0</v>
      </c>
      <c r="G104" s="130"/>
      <c r="H104" s="130">
        <v>0</v>
      </c>
      <c r="I104" s="130">
        <v>0</v>
      </c>
      <c r="J104" s="130">
        <v>0</v>
      </c>
      <c r="K104" s="130">
        <v>0</v>
      </c>
      <c r="L104" s="130"/>
      <c r="M104" s="130">
        <v>0</v>
      </c>
      <c r="N104" s="130">
        <v>0</v>
      </c>
      <c r="O104" s="130"/>
      <c r="P104" s="130">
        <v>0</v>
      </c>
      <c r="Q104" s="130">
        <v>0</v>
      </c>
      <c r="R104" s="130">
        <v>0</v>
      </c>
      <c r="S104" s="130"/>
      <c r="T104" s="130">
        <v>0</v>
      </c>
      <c r="U104" s="130">
        <v>0</v>
      </c>
      <c r="V104" s="130">
        <v>0</v>
      </c>
      <c r="W104" s="130">
        <v>0</v>
      </c>
      <c r="X104" s="130">
        <f>SUM(D104:W104)</f>
        <v>0</v>
      </c>
    </row>
    <row r="105" spans="1:24" ht="18" x14ac:dyDescent="0.4">
      <c r="A105" s="480" t="s">
        <v>567</v>
      </c>
      <c r="B105" s="507"/>
      <c r="C105" s="505">
        <v>20000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</row>
    <row r="106" spans="1:24" ht="18" x14ac:dyDescent="0.4">
      <c r="A106" s="473" t="s">
        <v>295</v>
      </c>
      <c r="B106" s="511">
        <v>330600</v>
      </c>
      <c r="C106" s="505">
        <f>20000+10000</f>
        <v>30000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</row>
    <row r="107" spans="1:24" ht="18" x14ac:dyDescent="0.4">
      <c r="A107" s="473" t="s">
        <v>296</v>
      </c>
      <c r="B107" s="507">
        <v>330700</v>
      </c>
      <c r="C107" s="505">
        <f>130000+2000+10000</f>
        <v>142000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</row>
    <row r="108" spans="1:24" ht="18" x14ac:dyDescent="0.4">
      <c r="A108" s="475" t="s">
        <v>568</v>
      </c>
      <c r="B108" s="518">
        <v>330900</v>
      </c>
      <c r="C108" s="505">
        <v>10000</v>
      </c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</row>
    <row r="109" spans="1:24" ht="18" x14ac:dyDescent="0.4">
      <c r="A109" s="473" t="s">
        <v>569</v>
      </c>
      <c r="B109" s="518">
        <v>331000</v>
      </c>
      <c r="C109" s="505">
        <f>5000+2000</f>
        <v>7000</v>
      </c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</row>
    <row r="110" spans="1:24" ht="18" x14ac:dyDescent="0.4">
      <c r="A110" s="480" t="s">
        <v>570</v>
      </c>
      <c r="B110" s="511">
        <v>331300</v>
      </c>
      <c r="C110" s="505">
        <f>20000+15000</f>
        <v>35000</v>
      </c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</row>
    <row r="111" spans="1:24" ht="18" x14ac:dyDescent="0.4">
      <c r="A111" s="473" t="s">
        <v>571</v>
      </c>
      <c r="B111" s="507">
        <v>330400</v>
      </c>
      <c r="C111" s="505"/>
      <c r="D111" s="130">
        <v>0</v>
      </c>
      <c r="E111" s="130">
        <v>0</v>
      </c>
      <c r="F111" s="130">
        <v>0</v>
      </c>
      <c r="G111" s="130"/>
      <c r="H111" s="130">
        <v>0</v>
      </c>
      <c r="I111" s="143">
        <v>0</v>
      </c>
      <c r="J111" s="130">
        <v>0</v>
      </c>
      <c r="K111" s="130">
        <v>0</v>
      </c>
      <c r="L111" s="130"/>
      <c r="M111" s="130">
        <v>0</v>
      </c>
      <c r="N111" s="130">
        <v>0</v>
      </c>
      <c r="O111" s="130"/>
      <c r="P111" s="130">
        <v>0</v>
      </c>
      <c r="Q111" s="130">
        <v>0</v>
      </c>
      <c r="R111" s="130">
        <v>0</v>
      </c>
      <c r="S111" s="130"/>
      <c r="T111" s="130">
        <v>0</v>
      </c>
      <c r="U111" s="130">
        <v>0</v>
      </c>
      <c r="V111" s="130">
        <v>0</v>
      </c>
      <c r="W111" s="130">
        <v>0</v>
      </c>
      <c r="X111" s="130">
        <f>SUM(D111:W111)</f>
        <v>0</v>
      </c>
    </row>
    <row r="112" spans="1:24" s="170" customFormat="1" ht="18" x14ac:dyDescent="0.4">
      <c r="A112" s="475" t="s">
        <v>572</v>
      </c>
      <c r="B112" s="507">
        <v>330800</v>
      </c>
      <c r="C112" s="505"/>
      <c r="D112" s="168">
        <v>0</v>
      </c>
      <c r="E112" s="130">
        <v>0</v>
      </c>
      <c r="F112" s="130">
        <v>0</v>
      </c>
      <c r="G112" s="130"/>
      <c r="H112" s="130">
        <v>0</v>
      </c>
      <c r="I112" s="130">
        <v>0</v>
      </c>
      <c r="J112" s="130">
        <v>0</v>
      </c>
      <c r="K112" s="168">
        <v>0</v>
      </c>
      <c r="L112" s="168"/>
      <c r="M112" s="168">
        <v>0</v>
      </c>
      <c r="N112" s="168"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v>0</v>
      </c>
      <c r="T112" s="130">
        <v>0</v>
      </c>
      <c r="U112" s="130">
        <v>0</v>
      </c>
      <c r="V112" s="130">
        <v>0</v>
      </c>
      <c r="W112" s="130">
        <v>0</v>
      </c>
      <c r="X112" s="130">
        <f t="shared" ref="X112:X117" si="9">SUM(D112:W112)</f>
        <v>0</v>
      </c>
    </row>
    <row r="113" spans="1:24" s="136" customFormat="1" ht="18" x14ac:dyDescent="0.4">
      <c r="A113" s="480" t="s">
        <v>573</v>
      </c>
      <c r="B113" s="507">
        <v>331100</v>
      </c>
      <c r="C113" s="505">
        <v>5000</v>
      </c>
      <c r="D113" s="130">
        <v>0</v>
      </c>
      <c r="E113" s="130">
        <v>0</v>
      </c>
      <c r="F113" s="130">
        <v>0</v>
      </c>
      <c r="G113" s="130"/>
      <c r="H113" s="130">
        <v>0</v>
      </c>
      <c r="I113" s="130">
        <v>0</v>
      </c>
      <c r="J113" s="130">
        <v>0</v>
      </c>
      <c r="K113" s="130">
        <v>0</v>
      </c>
      <c r="L113" s="130"/>
      <c r="M113" s="130">
        <v>0</v>
      </c>
      <c r="N113" s="130">
        <v>0</v>
      </c>
      <c r="O113" s="130">
        <v>0</v>
      </c>
      <c r="P113" s="130">
        <v>0</v>
      </c>
      <c r="Q113" s="130">
        <v>0</v>
      </c>
      <c r="R113" s="130">
        <v>0</v>
      </c>
      <c r="S113" s="130">
        <v>0</v>
      </c>
      <c r="T113" s="130">
        <v>0</v>
      </c>
      <c r="U113" s="130">
        <v>0</v>
      </c>
      <c r="V113" s="130">
        <v>0</v>
      </c>
      <c r="W113" s="130">
        <v>0</v>
      </c>
      <c r="X113" s="130">
        <f t="shared" si="9"/>
        <v>0</v>
      </c>
    </row>
    <row r="114" spans="1:24" ht="18" x14ac:dyDescent="0.4">
      <c r="A114" s="480" t="s">
        <v>574</v>
      </c>
      <c r="B114" s="511">
        <v>331200</v>
      </c>
      <c r="C114" s="525"/>
      <c r="D114" s="149">
        <v>0</v>
      </c>
      <c r="E114" s="149">
        <v>0</v>
      </c>
      <c r="F114" s="149"/>
      <c r="G114" s="149"/>
      <c r="H114" s="130">
        <v>0</v>
      </c>
      <c r="I114" s="149">
        <v>0</v>
      </c>
      <c r="J114" s="149">
        <v>0</v>
      </c>
      <c r="K114" s="149">
        <v>0</v>
      </c>
      <c r="L114" s="149"/>
      <c r="M114" s="149">
        <v>0</v>
      </c>
      <c r="N114" s="149">
        <v>0</v>
      </c>
      <c r="O114" s="149">
        <v>0</v>
      </c>
      <c r="P114" s="149">
        <v>0</v>
      </c>
      <c r="Q114" s="149">
        <v>0</v>
      </c>
      <c r="R114" s="149">
        <v>0</v>
      </c>
      <c r="S114" s="149">
        <v>0</v>
      </c>
      <c r="T114" s="149">
        <v>0</v>
      </c>
      <c r="U114" s="149">
        <v>0</v>
      </c>
      <c r="V114" s="149">
        <v>0</v>
      </c>
      <c r="W114" s="149">
        <v>0</v>
      </c>
      <c r="X114" s="130">
        <f t="shared" si="9"/>
        <v>0</v>
      </c>
    </row>
    <row r="115" spans="1:24" ht="18" x14ac:dyDescent="0.4">
      <c r="A115" s="480" t="s">
        <v>575</v>
      </c>
      <c r="B115" s="511">
        <v>331400</v>
      </c>
      <c r="C115" s="525">
        <v>10000</v>
      </c>
      <c r="D115" s="149">
        <v>0</v>
      </c>
      <c r="E115" s="149">
        <v>0</v>
      </c>
      <c r="F115" s="149">
        <v>0</v>
      </c>
      <c r="G115" s="149">
        <v>0</v>
      </c>
      <c r="H115" s="130">
        <v>0</v>
      </c>
      <c r="I115" s="149">
        <v>0</v>
      </c>
      <c r="J115" s="149">
        <v>0</v>
      </c>
      <c r="K115" s="149">
        <v>0</v>
      </c>
      <c r="L115" s="149"/>
      <c r="M115" s="149">
        <v>0</v>
      </c>
      <c r="N115" s="149">
        <v>0</v>
      </c>
      <c r="O115" s="149">
        <v>0</v>
      </c>
      <c r="P115" s="149">
        <v>0</v>
      </c>
      <c r="Q115" s="149">
        <v>0</v>
      </c>
      <c r="R115" s="149">
        <v>0</v>
      </c>
      <c r="S115" s="149">
        <v>0</v>
      </c>
      <c r="T115" s="149">
        <v>0</v>
      </c>
      <c r="U115" s="149">
        <v>0</v>
      </c>
      <c r="V115" s="149">
        <v>0</v>
      </c>
      <c r="W115" s="149">
        <v>0</v>
      </c>
      <c r="X115" s="130">
        <f t="shared" si="9"/>
        <v>0</v>
      </c>
    </row>
    <row r="116" spans="1:24" ht="18" x14ac:dyDescent="0.4">
      <c r="A116" s="480" t="s">
        <v>300</v>
      </c>
      <c r="B116" s="511">
        <v>331600</v>
      </c>
      <c r="C116" s="525"/>
      <c r="D116" s="149">
        <v>0</v>
      </c>
      <c r="E116" s="149">
        <v>0</v>
      </c>
      <c r="F116" s="149">
        <v>0</v>
      </c>
      <c r="G116" s="149"/>
      <c r="H116" s="150">
        <v>0</v>
      </c>
      <c r="I116" s="149">
        <v>0</v>
      </c>
      <c r="J116" s="149">
        <v>0</v>
      </c>
      <c r="K116" s="149">
        <v>0</v>
      </c>
      <c r="L116" s="149"/>
      <c r="M116" s="149">
        <v>0</v>
      </c>
      <c r="N116" s="149">
        <v>0</v>
      </c>
      <c r="O116" s="149">
        <v>0</v>
      </c>
      <c r="P116" s="149">
        <v>0</v>
      </c>
      <c r="Q116" s="149">
        <v>0</v>
      </c>
      <c r="R116" s="149">
        <v>0</v>
      </c>
      <c r="S116" s="149">
        <v>0</v>
      </c>
      <c r="T116" s="149">
        <v>0</v>
      </c>
      <c r="U116" s="149">
        <v>0</v>
      </c>
      <c r="V116" s="149">
        <v>0</v>
      </c>
      <c r="W116" s="149">
        <v>0</v>
      </c>
      <c r="X116" s="130">
        <f t="shared" si="9"/>
        <v>0</v>
      </c>
    </row>
    <row r="117" spans="1:24" ht="18" x14ac:dyDescent="0.4">
      <c r="A117" s="133" t="s">
        <v>189</v>
      </c>
      <c r="B117" s="512"/>
      <c r="C117" s="506">
        <f>SUM(C102:C116)</f>
        <v>429000</v>
      </c>
      <c r="D117" s="135">
        <v>0</v>
      </c>
      <c r="E117" s="135">
        <f t="shared" ref="E117:K117" si="10">SUM(E102:E116)</f>
        <v>0</v>
      </c>
      <c r="F117" s="135">
        <f t="shared" si="10"/>
        <v>0</v>
      </c>
      <c r="G117" s="135">
        <f t="shared" si="10"/>
        <v>0</v>
      </c>
      <c r="H117" s="178">
        <f t="shared" si="10"/>
        <v>0</v>
      </c>
      <c r="I117" s="178">
        <f t="shared" si="10"/>
        <v>0</v>
      </c>
      <c r="J117" s="135">
        <f t="shared" si="10"/>
        <v>0</v>
      </c>
      <c r="K117" s="135">
        <f t="shared" si="10"/>
        <v>0</v>
      </c>
      <c r="L117" s="135"/>
      <c r="M117" s="135">
        <f>SUM(M102:M116)</f>
        <v>0</v>
      </c>
      <c r="N117" s="178">
        <f>SUM(N102:N116)</f>
        <v>0</v>
      </c>
      <c r="O117" s="178"/>
      <c r="P117" s="135">
        <f>SUM(P102:P116)</f>
        <v>0</v>
      </c>
      <c r="Q117" s="135">
        <f>SUM(Q102:Q116)</f>
        <v>0</v>
      </c>
      <c r="R117" s="135">
        <f>SUM(R102:R116)</f>
        <v>0</v>
      </c>
      <c r="S117" s="135"/>
      <c r="T117" s="135">
        <f>SUM(T102:T116)</f>
        <v>0</v>
      </c>
      <c r="U117" s="135">
        <f>SUM(U102:U116)</f>
        <v>0</v>
      </c>
      <c r="V117" s="178">
        <f>SUM(V102:V116)</f>
        <v>0</v>
      </c>
      <c r="W117" s="135">
        <f>SUM(W102:W116)</f>
        <v>0</v>
      </c>
      <c r="X117" s="135">
        <f t="shared" si="9"/>
        <v>0</v>
      </c>
    </row>
    <row r="118" spans="1:24" ht="21" x14ac:dyDescent="0.45">
      <c r="A118" s="162" t="s">
        <v>54</v>
      </c>
      <c r="B118" s="518"/>
      <c r="C118" s="492"/>
      <c r="D118" s="123"/>
      <c r="E118" s="123"/>
      <c r="F118" s="123"/>
      <c r="G118" s="123"/>
      <c r="H118" s="139"/>
      <c r="I118" s="139"/>
      <c r="J118" s="123"/>
      <c r="K118" s="123"/>
      <c r="L118" s="123"/>
      <c r="M118" s="123"/>
      <c r="N118" s="139"/>
      <c r="O118" s="139"/>
      <c r="P118" s="123"/>
      <c r="Q118" s="123"/>
      <c r="R118" s="123"/>
      <c r="S118" s="123"/>
      <c r="T118" s="139"/>
      <c r="U118" s="123"/>
      <c r="V118" s="123"/>
      <c r="W118" s="123"/>
      <c r="X118" s="123"/>
    </row>
    <row r="119" spans="1:24" ht="18" x14ac:dyDescent="0.4">
      <c r="A119" s="483" t="s">
        <v>301</v>
      </c>
      <c r="B119" s="507">
        <v>340100</v>
      </c>
      <c r="C119" s="505">
        <v>150000</v>
      </c>
      <c r="D119" s="130">
        <v>0</v>
      </c>
      <c r="E119" s="130">
        <v>0</v>
      </c>
      <c r="F119" s="130">
        <v>0</v>
      </c>
      <c r="G119" s="130"/>
      <c r="H119" s="130">
        <v>0</v>
      </c>
      <c r="I119" s="168" t="s">
        <v>230</v>
      </c>
      <c r="J119" s="168" t="s">
        <v>230</v>
      </c>
      <c r="K119" s="168" t="s">
        <v>230</v>
      </c>
      <c r="L119" s="168"/>
      <c r="M119" s="168" t="s">
        <v>230</v>
      </c>
      <c r="N119" s="168" t="s">
        <v>230</v>
      </c>
      <c r="O119" s="168"/>
      <c r="P119" s="168" t="s">
        <v>230</v>
      </c>
      <c r="Q119" s="168" t="s">
        <v>230</v>
      </c>
      <c r="R119" s="168" t="s">
        <v>230</v>
      </c>
      <c r="S119" s="168" t="s">
        <v>230</v>
      </c>
      <c r="T119" s="168" t="s">
        <v>230</v>
      </c>
      <c r="U119" s="168" t="s">
        <v>230</v>
      </c>
      <c r="V119" s="168" t="s">
        <v>230</v>
      </c>
      <c r="W119" s="168">
        <v>0</v>
      </c>
      <c r="X119" s="130">
        <f>SUM(D119:W119)</f>
        <v>0</v>
      </c>
    </row>
    <row r="120" spans="1:24" ht="18" x14ac:dyDescent="0.4">
      <c r="A120" s="483" t="s">
        <v>576</v>
      </c>
      <c r="B120" s="511">
        <v>340300</v>
      </c>
      <c r="C120" s="525">
        <v>5000</v>
      </c>
      <c r="D120" s="149">
        <v>0</v>
      </c>
      <c r="E120" s="149">
        <v>0</v>
      </c>
      <c r="F120" s="130">
        <v>0</v>
      </c>
      <c r="G120" s="130"/>
      <c r="H120" s="130">
        <v>0</v>
      </c>
      <c r="I120" s="168" t="s">
        <v>230</v>
      </c>
      <c r="J120" s="168" t="s">
        <v>230</v>
      </c>
      <c r="K120" s="168" t="s">
        <v>230</v>
      </c>
      <c r="L120" s="168"/>
      <c r="M120" s="168" t="s">
        <v>230</v>
      </c>
      <c r="N120" s="168" t="s">
        <v>230</v>
      </c>
      <c r="O120" s="168"/>
      <c r="P120" s="168" t="s">
        <v>230</v>
      </c>
      <c r="Q120" s="168" t="s">
        <v>230</v>
      </c>
      <c r="R120" s="168" t="s">
        <v>230</v>
      </c>
      <c r="S120" s="168" t="s">
        <v>230</v>
      </c>
      <c r="T120" s="168" t="s">
        <v>230</v>
      </c>
      <c r="U120" s="168" t="s">
        <v>230</v>
      </c>
      <c r="V120" s="168" t="s">
        <v>230</v>
      </c>
      <c r="W120" s="168" t="s">
        <v>230</v>
      </c>
      <c r="X120" s="130">
        <f>SUM(D120:W120)</f>
        <v>0</v>
      </c>
    </row>
    <row r="121" spans="1:24" ht="18" x14ac:dyDescent="0.4">
      <c r="A121" s="473" t="s">
        <v>302</v>
      </c>
      <c r="B121" s="507">
        <v>340400</v>
      </c>
      <c r="C121" s="505">
        <f>1000+20000</f>
        <v>21000</v>
      </c>
      <c r="D121" s="130">
        <v>0</v>
      </c>
      <c r="E121" s="130">
        <v>0</v>
      </c>
      <c r="F121" s="130">
        <v>0</v>
      </c>
      <c r="G121" s="130"/>
      <c r="H121" s="130">
        <v>0</v>
      </c>
      <c r="I121" s="168" t="s">
        <v>230</v>
      </c>
      <c r="J121" s="168" t="s">
        <v>230</v>
      </c>
      <c r="K121" s="168" t="s">
        <v>230</v>
      </c>
      <c r="L121" s="168"/>
      <c r="M121" s="168" t="s">
        <v>230</v>
      </c>
      <c r="N121" s="168" t="s">
        <v>230</v>
      </c>
      <c r="O121" s="168"/>
      <c r="P121" s="168" t="s">
        <v>230</v>
      </c>
      <c r="Q121" s="168" t="s">
        <v>230</v>
      </c>
      <c r="R121" s="168" t="s">
        <v>230</v>
      </c>
      <c r="S121" s="168" t="s">
        <v>230</v>
      </c>
      <c r="T121" s="168" t="s">
        <v>230</v>
      </c>
      <c r="U121" s="168" t="s">
        <v>230</v>
      </c>
      <c r="V121" s="168" t="s">
        <v>230</v>
      </c>
      <c r="W121" s="168" t="s">
        <v>230</v>
      </c>
      <c r="X121" s="130">
        <f>SUM(D121:W121)</f>
        <v>0</v>
      </c>
    </row>
    <row r="122" spans="1:24" ht="18" x14ac:dyDescent="0.4">
      <c r="A122" s="181" t="s">
        <v>577</v>
      </c>
      <c r="B122" s="513">
        <v>340500</v>
      </c>
      <c r="C122" s="526">
        <v>95000</v>
      </c>
      <c r="D122" s="124">
        <v>0</v>
      </c>
      <c r="E122" s="124">
        <v>0</v>
      </c>
      <c r="F122" s="130">
        <v>0</v>
      </c>
      <c r="G122" s="130"/>
      <c r="H122" s="130">
        <v>0</v>
      </c>
      <c r="I122" s="168" t="s">
        <v>230</v>
      </c>
      <c r="J122" s="168" t="s">
        <v>230</v>
      </c>
      <c r="K122" s="168" t="s">
        <v>230</v>
      </c>
      <c r="L122" s="168"/>
      <c r="M122" s="168" t="s">
        <v>230</v>
      </c>
      <c r="N122" s="168" t="s">
        <v>230</v>
      </c>
      <c r="O122" s="168"/>
      <c r="P122" s="168" t="s">
        <v>230</v>
      </c>
      <c r="Q122" s="168" t="s">
        <v>230</v>
      </c>
      <c r="R122" s="168" t="s">
        <v>230</v>
      </c>
      <c r="S122" s="168" t="s">
        <v>230</v>
      </c>
      <c r="T122" s="168" t="s">
        <v>230</v>
      </c>
      <c r="U122" s="168" t="s">
        <v>230</v>
      </c>
      <c r="V122" s="168" t="s">
        <v>230</v>
      </c>
      <c r="W122" s="168" t="s">
        <v>230</v>
      </c>
      <c r="X122" s="130">
        <f>SUM(D122:W122)</f>
        <v>0</v>
      </c>
    </row>
    <row r="123" spans="1:24" ht="18" x14ac:dyDescent="0.4">
      <c r="A123" s="181" t="s">
        <v>303</v>
      </c>
      <c r="B123" s="513">
        <v>340500</v>
      </c>
      <c r="C123" s="526"/>
      <c r="D123" s="124">
        <v>0</v>
      </c>
      <c r="E123" s="124">
        <v>0</v>
      </c>
      <c r="F123" s="130">
        <v>0</v>
      </c>
      <c r="G123" s="130"/>
      <c r="H123" s="130">
        <v>0</v>
      </c>
      <c r="I123" s="168" t="s">
        <v>230</v>
      </c>
      <c r="J123" s="168" t="s">
        <v>230</v>
      </c>
      <c r="K123" s="168" t="s">
        <v>230</v>
      </c>
      <c r="L123" s="168"/>
      <c r="M123" s="168" t="s">
        <v>230</v>
      </c>
      <c r="N123" s="168" t="s">
        <v>230</v>
      </c>
      <c r="O123" s="168"/>
      <c r="P123" s="168" t="s">
        <v>230</v>
      </c>
      <c r="Q123" s="168" t="s">
        <v>230</v>
      </c>
      <c r="R123" s="168" t="s">
        <v>230</v>
      </c>
      <c r="S123" s="168" t="s">
        <v>230</v>
      </c>
      <c r="T123" s="168" t="s">
        <v>230</v>
      </c>
      <c r="U123" s="168" t="s">
        <v>230</v>
      </c>
      <c r="V123" s="168" t="s">
        <v>230</v>
      </c>
      <c r="W123" s="168"/>
      <c r="X123" s="130">
        <f>SUM(D123:W123)</f>
        <v>0</v>
      </c>
    </row>
    <row r="124" spans="1:24" ht="18" x14ac:dyDescent="0.4">
      <c r="A124" s="133" t="s">
        <v>189</v>
      </c>
      <c r="B124" s="512"/>
      <c r="C124" s="506">
        <f>SUM(C119:C123)</f>
        <v>271000</v>
      </c>
      <c r="D124" s="135">
        <v>0</v>
      </c>
      <c r="E124" s="135">
        <f>SUM(E119:E123)</f>
        <v>0</v>
      </c>
      <c r="F124" s="135">
        <f t="shared" ref="F124:T124" si="11">SUM(F120:F123)</f>
        <v>0</v>
      </c>
      <c r="G124" s="135"/>
      <c r="H124" s="135">
        <f t="shared" si="11"/>
        <v>0</v>
      </c>
      <c r="I124" s="135">
        <f t="shared" si="11"/>
        <v>0</v>
      </c>
      <c r="J124" s="135">
        <f t="shared" si="11"/>
        <v>0</v>
      </c>
      <c r="K124" s="135">
        <f t="shared" si="11"/>
        <v>0</v>
      </c>
      <c r="L124" s="135"/>
      <c r="M124" s="135">
        <f t="shared" si="11"/>
        <v>0</v>
      </c>
      <c r="N124" s="135">
        <f t="shared" si="11"/>
        <v>0</v>
      </c>
      <c r="O124" s="135"/>
      <c r="P124" s="135">
        <f t="shared" si="11"/>
        <v>0</v>
      </c>
      <c r="Q124" s="135">
        <f t="shared" si="11"/>
        <v>0</v>
      </c>
      <c r="R124" s="135">
        <f t="shared" si="11"/>
        <v>0</v>
      </c>
      <c r="S124" s="135"/>
      <c r="T124" s="135">
        <f t="shared" si="11"/>
        <v>0</v>
      </c>
      <c r="U124" s="135">
        <f>SUM(U120:U123)</f>
        <v>0</v>
      </c>
      <c r="V124" s="135">
        <f>SUM(V120:V123)</f>
        <v>0</v>
      </c>
      <c r="W124" s="135">
        <f>SUM(W119:W123)</f>
        <v>0</v>
      </c>
      <c r="X124" s="135">
        <f>SUM(X119:X123)</f>
        <v>0</v>
      </c>
    </row>
    <row r="125" spans="1:24" ht="18" x14ac:dyDescent="0.4">
      <c r="A125" s="181" t="s">
        <v>238</v>
      </c>
      <c r="B125" s="519"/>
      <c r="C125" s="113"/>
      <c r="D125" s="183"/>
      <c r="E125" s="183"/>
      <c r="F125" s="183"/>
      <c r="G125" s="183"/>
      <c r="H125" s="184"/>
      <c r="I125" s="184"/>
      <c r="J125" s="183"/>
      <c r="K125" s="183"/>
      <c r="L125" s="183"/>
      <c r="M125" s="183"/>
      <c r="N125" s="184"/>
      <c r="O125" s="184"/>
      <c r="P125" s="183"/>
      <c r="Q125" s="183"/>
      <c r="R125" s="183"/>
      <c r="S125" s="183"/>
      <c r="T125" s="184"/>
      <c r="U125" s="183"/>
      <c r="V125" s="183"/>
      <c r="W125" s="183"/>
      <c r="X125" s="109"/>
    </row>
    <row r="126" spans="1:24" ht="18" x14ac:dyDescent="0.4">
      <c r="A126" s="185" t="s">
        <v>239</v>
      </c>
      <c r="B126" s="520"/>
      <c r="C126" s="190"/>
      <c r="D126" s="187"/>
      <c r="E126" s="187"/>
      <c r="F126" s="187"/>
      <c r="G126" s="187"/>
      <c r="H126" s="188"/>
      <c r="I126" s="188"/>
      <c r="J126" s="187"/>
      <c r="K126" s="187"/>
      <c r="L126" s="187"/>
      <c r="M126" s="187"/>
      <c r="N126" s="188"/>
      <c r="O126" s="188"/>
      <c r="P126" s="187"/>
      <c r="Q126" s="187"/>
      <c r="R126" s="187"/>
      <c r="S126" s="187"/>
      <c r="T126" s="188"/>
      <c r="U126" s="187"/>
      <c r="V126" s="187"/>
      <c r="W126" s="187"/>
      <c r="X126" s="130">
        <f>SUM(D126:W126)</f>
        <v>0</v>
      </c>
    </row>
    <row r="127" spans="1:24" ht="18" x14ac:dyDescent="0.4">
      <c r="A127" s="486" t="s">
        <v>304</v>
      </c>
      <c r="B127" s="507">
        <v>610200</v>
      </c>
      <c r="C127" s="489"/>
      <c r="D127" s="130">
        <v>0</v>
      </c>
      <c r="E127" s="190" t="s">
        <v>230</v>
      </c>
      <c r="F127" s="190" t="s">
        <v>230</v>
      </c>
      <c r="G127" s="190"/>
      <c r="H127" s="130">
        <v>0</v>
      </c>
      <c r="I127" s="188">
        <v>0</v>
      </c>
      <c r="J127" s="130">
        <v>0</v>
      </c>
      <c r="K127" s="130">
        <v>0</v>
      </c>
      <c r="L127" s="130"/>
      <c r="M127" s="130">
        <v>0</v>
      </c>
      <c r="N127" s="130">
        <v>0</v>
      </c>
      <c r="O127" s="190" t="s">
        <v>230</v>
      </c>
      <c r="P127" s="190" t="s">
        <v>230</v>
      </c>
      <c r="Q127" s="190" t="s">
        <v>230</v>
      </c>
      <c r="R127" s="190" t="s">
        <v>230</v>
      </c>
      <c r="S127" s="190" t="s">
        <v>230</v>
      </c>
      <c r="T127" s="188"/>
      <c r="U127" s="190" t="s">
        <v>230</v>
      </c>
      <c r="V127" s="190" t="s">
        <v>230</v>
      </c>
      <c r="W127" s="190" t="s">
        <v>230</v>
      </c>
      <c r="X127" s="130">
        <f>SUM(D127:W127)</f>
        <v>0</v>
      </c>
    </row>
    <row r="128" spans="1:24" ht="18" x14ac:dyDescent="0.4">
      <c r="A128" s="486" t="s">
        <v>305</v>
      </c>
      <c r="B128" s="520"/>
      <c r="C128" s="495"/>
      <c r="D128" s="149">
        <v>0</v>
      </c>
      <c r="E128" s="190" t="s">
        <v>230</v>
      </c>
      <c r="F128" s="190" t="s">
        <v>230</v>
      </c>
      <c r="G128" s="190"/>
      <c r="H128" s="130">
        <v>0</v>
      </c>
      <c r="I128" s="130">
        <v>0</v>
      </c>
      <c r="J128" s="130">
        <v>0</v>
      </c>
      <c r="K128" s="130">
        <v>0</v>
      </c>
      <c r="L128" s="130"/>
      <c r="M128" s="130">
        <v>0</v>
      </c>
      <c r="N128" s="130">
        <v>0</v>
      </c>
      <c r="O128" s="190" t="s">
        <v>230</v>
      </c>
      <c r="P128" s="190" t="s">
        <v>230</v>
      </c>
      <c r="Q128" s="190" t="s">
        <v>230</v>
      </c>
      <c r="R128" s="190" t="s">
        <v>230</v>
      </c>
      <c r="S128" s="190" t="s">
        <v>230</v>
      </c>
      <c r="T128" s="188">
        <v>0</v>
      </c>
      <c r="U128" s="190" t="s">
        <v>230</v>
      </c>
      <c r="V128" s="190" t="s">
        <v>230</v>
      </c>
      <c r="W128" s="190" t="s">
        <v>230</v>
      </c>
      <c r="X128" s="130">
        <f>SUM(D128:W128)</f>
        <v>0</v>
      </c>
    </row>
    <row r="129" spans="1:24" ht="18" x14ac:dyDescent="0.4">
      <c r="A129" s="486" t="s">
        <v>306</v>
      </c>
      <c r="B129" s="520"/>
      <c r="C129" s="190"/>
      <c r="D129" s="130">
        <v>0</v>
      </c>
      <c r="E129" s="190" t="s">
        <v>230</v>
      </c>
      <c r="F129" s="190" t="s">
        <v>230</v>
      </c>
      <c r="G129" s="190"/>
      <c r="H129" s="130">
        <v>0</v>
      </c>
      <c r="I129" s="130">
        <v>0</v>
      </c>
      <c r="J129" s="130">
        <v>0</v>
      </c>
      <c r="K129" s="130">
        <v>0</v>
      </c>
      <c r="L129" s="130"/>
      <c r="M129" s="130">
        <v>0</v>
      </c>
      <c r="N129" s="130">
        <v>0</v>
      </c>
      <c r="O129" s="190" t="s">
        <v>230</v>
      </c>
      <c r="P129" s="190" t="s">
        <v>230</v>
      </c>
      <c r="Q129" s="190" t="s">
        <v>230</v>
      </c>
      <c r="R129" s="190" t="s">
        <v>230</v>
      </c>
      <c r="S129" s="190" t="s">
        <v>230</v>
      </c>
      <c r="T129" s="188">
        <v>0</v>
      </c>
      <c r="U129" s="190" t="s">
        <v>230</v>
      </c>
      <c r="V129" s="190" t="s">
        <v>230</v>
      </c>
      <c r="W129" s="190" t="s">
        <v>230</v>
      </c>
      <c r="X129" s="130">
        <f>SUM(D129:W129)</f>
        <v>0</v>
      </c>
    </row>
    <row r="130" spans="1:24" ht="18" x14ac:dyDescent="0.4">
      <c r="A130" s="486" t="s">
        <v>307</v>
      </c>
      <c r="B130" s="520"/>
      <c r="C130" s="113"/>
      <c r="D130" s="124"/>
      <c r="E130" s="190"/>
      <c r="F130" s="190"/>
      <c r="G130" s="190"/>
      <c r="H130" s="130"/>
      <c r="I130" s="130"/>
      <c r="J130" s="130"/>
      <c r="K130" s="130"/>
      <c r="L130" s="130"/>
      <c r="M130" s="130"/>
      <c r="N130" s="130"/>
      <c r="O130" s="190"/>
      <c r="P130" s="190"/>
      <c r="Q130" s="190"/>
      <c r="R130" s="190"/>
      <c r="S130" s="190"/>
      <c r="T130" s="188">
        <v>0</v>
      </c>
      <c r="U130" s="190"/>
      <c r="V130" s="190"/>
      <c r="W130" s="190"/>
      <c r="X130" s="130"/>
    </row>
    <row r="131" spans="1:24" ht="18" x14ac:dyDescent="0.4">
      <c r="A131" s="486" t="s">
        <v>308</v>
      </c>
      <c r="B131" s="520"/>
      <c r="C131" s="113"/>
      <c r="D131" s="124"/>
      <c r="E131" s="190"/>
      <c r="F131" s="190"/>
      <c r="G131" s="190"/>
      <c r="H131" s="130"/>
      <c r="I131" s="130"/>
      <c r="J131" s="130"/>
      <c r="K131" s="130"/>
      <c r="L131" s="130"/>
      <c r="M131" s="130"/>
      <c r="N131" s="130"/>
      <c r="O131" s="190"/>
      <c r="P131" s="190"/>
      <c r="Q131" s="190"/>
      <c r="R131" s="190"/>
      <c r="S131" s="190"/>
      <c r="T131" s="188">
        <v>0</v>
      </c>
      <c r="U131" s="190"/>
      <c r="V131" s="190"/>
      <c r="W131" s="190"/>
      <c r="X131" s="130"/>
    </row>
    <row r="132" spans="1:24" ht="18" x14ac:dyDescent="0.4">
      <c r="A132" s="185" t="s">
        <v>245</v>
      </c>
      <c r="B132" s="520"/>
      <c r="C132" s="113"/>
      <c r="D132" s="124">
        <v>0</v>
      </c>
      <c r="E132" s="190" t="s">
        <v>230</v>
      </c>
      <c r="F132" s="190" t="s">
        <v>230</v>
      </c>
      <c r="G132" s="190"/>
      <c r="H132" s="130">
        <v>0</v>
      </c>
      <c r="I132" s="130">
        <v>0</v>
      </c>
      <c r="J132" s="130">
        <v>0</v>
      </c>
      <c r="K132" s="130">
        <v>0</v>
      </c>
      <c r="L132" s="130"/>
      <c r="M132" s="130">
        <v>0</v>
      </c>
      <c r="N132" s="130">
        <v>0</v>
      </c>
      <c r="O132" s="190" t="s">
        <v>230</v>
      </c>
      <c r="P132" s="190" t="s">
        <v>230</v>
      </c>
      <c r="Q132" s="190" t="s">
        <v>230</v>
      </c>
      <c r="R132" s="190" t="s">
        <v>230</v>
      </c>
      <c r="S132" s="190" t="s">
        <v>230</v>
      </c>
      <c r="T132" s="192">
        <v>0</v>
      </c>
      <c r="U132" s="190" t="s">
        <v>230</v>
      </c>
      <c r="V132" s="190" t="s">
        <v>230</v>
      </c>
      <c r="W132" s="190" t="s">
        <v>230</v>
      </c>
      <c r="X132" s="130">
        <f>SUM(D132:W132)</f>
        <v>0</v>
      </c>
    </row>
    <row r="133" spans="1:24" ht="18" x14ac:dyDescent="0.4">
      <c r="A133" s="486" t="s">
        <v>309</v>
      </c>
      <c r="B133" s="520"/>
      <c r="C133" s="190"/>
      <c r="D133" s="130">
        <v>0</v>
      </c>
      <c r="E133" s="190" t="s">
        <v>230</v>
      </c>
      <c r="F133" s="190" t="s">
        <v>230</v>
      </c>
      <c r="G133" s="190"/>
      <c r="H133" s="188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90" t="s">
        <v>230</v>
      </c>
      <c r="P133" s="190" t="s">
        <v>230</v>
      </c>
      <c r="Q133" s="190" t="s">
        <v>230</v>
      </c>
      <c r="R133" s="190" t="s">
        <v>230</v>
      </c>
      <c r="S133" s="190" t="s">
        <v>230</v>
      </c>
      <c r="T133" s="193">
        <v>0</v>
      </c>
      <c r="U133" s="190" t="s">
        <v>230</v>
      </c>
      <c r="V133" s="190" t="s">
        <v>230</v>
      </c>
      <c r="W133" s="190" t="s">
        <v>230</v>
      </c>
      <c r="X133" s="130">
        <f>SUM(D133:W133)</f>
        <v>0</v>
      </c>
    </row>
    <row r="134" spans="1:24" ht="18" x14ac:dyDescent="0.4">
      <c r="A134" s="185" t="s">
        <v>247</v>
      </c>
      <c r="B134" s="520"/>
      <c r="C134" s="113"/>
      <c r="D134" s="124">
        <v>0</v>
      </c>
      <c r="E134" s="187"/>
      <c r="F134" s="187"/>
      <c r="G134" s="187"/>
      <c r="H134" s="188"/>
      <c r="I134" s="188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8"/>
      <c r="U134" s="187"/>
      <c r="V134" s="187"/>
      <c r="W134" s="187"/>
      <c r="X134" s="130">
        <f>SUM(D134:W134)</f>
        <v>0</v>
      </c>
    </row>
    <row r="135" spans="1:24" ht="18" x14ac:dyDescent="0.4">
      <c r="A135" s="181" t="s">
        <v>322</v>
      </c>
      <c r="B135" s="519">
        <v>610400</v>
      </c>
      <c r="C135" s="496"/>
      <c r="D135" s="124">
        <v>0</v>
      </c>
      <c r="E135" s="113" t="s">
        <v>230</v>
      </c>
      <c r="F135" s="113" t="s">
        <v>230</v>
      </c>
      <c r="G135" s="113"/>
      <c r="H135" s="130">
        <v>0</v>
      </c>
      <c r="I135" s="130">
        <v>0</v>
      </c>
      <c r="J135" s="130">
        <v>0</v>
      </c>
      <c r="K135" s="130">
        <v>0</v>
      </c>
      <c r="L135" s="130"/>
      <c r="M135" s="130">
        <v>0</v>
      </c>
      <c r="N135" s="195">
        <v>0</v>
      </c>
      <c r="O135" s="195">
        <v>0</v>
      </c>
      <c r="P135" s="113" t="s">
        <v>230</v>
      </c>
      <c r="Q135" s="113" t="s">
        <v>230</v>
      </c>
      <c r="R135" s="113" t="s">
        <v>230</v>
      </c>
      <c r="S135" s="113" t="s">
        <v>230</v>
      </c>
      <c r="T135" s="184"/>
      <c r="U135" s="113" t="s">
        <v>230</v>
      </c>
      <c r="V135" s="113" t="s">
        <v>230</v>
      </c>
      <c r="W135" s="113" t="s">
        <v>230</v>
      </c>
      <c r="X135" s="130">
        <f>SUM(D135:W135)</f>
        <v>0</v>
      </c>
    </row>
    <row r="136" spans="1:24" ht="18" x14ac:dyDescent="0.4">
      <c r="A136" s="133" t="s">
        <v>189</v>
      </c>
      <c r="B136" s="521"/>
      <c r="C136" s="134"/>
      <c r="D136" s="135">
        <f>SUM(D134:D135)</f>
        <v>0</v>
      </c>
      <c r="E136" s="135">
        <f>SUM(E134:E135)</f>
        <v>0</v>
      </c>
      <c r="F136" s="135">
        <f>SUM(F134:F135)</f>
        <v>0</v>
      </c>
      <c r="G136" s="135"/>
      <c r="H136" s="178">
        <f>SUM(H133:H135)</f>
        <v>0</v>
      </c>
      <c r="I136" s="178">
        <f>SUM(I127:I135)</f>
        <v>0</v>
      </c>
      <c r="J136" s="135">
        <f>SUM(J127:J135)</f>
        <v>0</v>
      </c>
      <c r="K136" s="135">
        <f>SUM(K134:K135)</f>
        <v>0</v>
      </c>
      <c r="L136" s="135">
        <f>SUM(L125:L135)</f>
        <v>0</v>
      </c>
      <c r="M136" s="135">
        <f>SUM(M134:M135)</f>
        <v>0</v>
      </c>
      <c r="N136" s="135">
        <f>SUM(N134:N135)</f>
        <v>0</v>
      </c>
      <c r="O136" s="135">
        <f>SUM(O126:O135)</f>
        <v>0</v>
      </c>
      <c r="P136" s="135">
        <f>SUM(P134:P135)</f>
        <v>0</v>
      </c>
      <c r="Q136" s="135">
        <f>SUM(Q134:Q135)</f>
        <v>0</v>
      </c>
      <c r="R136" s="135">
        <f>SUM(R134:R135)</f>
        <v>0</v>
      </c>
      <c r="S136" s="135"/>
      <c r="T136" s="178">
        <f>SUM(T127:T135)</f>
        <v>0</v>
      </c>
      <c r="U136" s="135">
        <f>SUM(U134:U135)</f>
        <v>0</v>
      </c>
      <c r="V136" s="135">
        <f>SUM(V134:V135)</f>
        <v>0</v>
      </c>
      <c r="W136" s="135">
        <f>SUM(W134:W135)</f>
        <v>0</v>
      </c>
      <c r="X136" s="135">
        <f>SUM(X127:X135)</f>
        <v>0</v>
      </c>
    </row>
    <row r="137" spans="1:24" s="100" customFormat="1" ht="23.25" x14ac:dyDescent="0.5">
      <c r="A137" s="904" t="s">
        <v>76</v>
      </c>
      <c r="B137" s="904"/>
      <c r="C137" s="904"/>
      <c r="D137" s="904"/>
      <c r="E137" s="904"/>
      <c r="F137" s="904"/>
      <c r="G137" s="904"/>
      <c r="H137" s="904"/>
      <c r="I137" s="904"/>
      <c r="J137" s="904"/>
      <c r="K137" s="904"/>
      <c r="L137" s="904"/>
      <c r="M137" s="904"/>
      <c r="N137" s="904"/>
      <c r="O137" s="904"/>
      <c r="P137" s="904"/>
      <c r="Q137" s="904"/>
      <c r="R137" s="904"/>
      <c r="S137" s="904"/>
      <c r="T137" s="904"/>
      <c r="U137" s="904"/>
      <c r="V137" s="904"/>
      <c r="W137" s="904"/>
      <c r="X137" s="904"/>
    </row>
    <row r="138" spans="1:24" s="100" customFormat="1" ht="23.25" x14ac:dyDescent="0.5">
      <c r="A138" s="904" t="s">
        <v>332</v>
      </c>
      <c r="B138" s="904"/>
      <c r="C138" s="904"/>
      <c r="D138" s="904"/>
      <c r="E138" s="904"/>
      <c r="F138" s="904"/>
      <c r="G138" s="904"/>
      <c r="H138" s="904"/>
      <c r="I138" s="904"/>
      <c r="J138" s="904"/>
      <c r="K138" s="904"/>
      <c r="L138" s="904"/>
      <c r="M138" s="904"/>
      <c r="N138" s="904"/>
      <c r="O138" s="904"/>
      <c r="P138" s="904"/>
      <c r="Q138" s="904"/>
      <c r="R138" s="904"/>
      <c r="S138" s="904"/>
      <c r="T138" s="904"/>
      <c r="U138" s="904"/>
      <c r="V138" s="904"/>
      <c r="W138" s="904"/>
      <c r="X138" s="904"/>
    </row>
    <row r="139" spans="1:24" s="100" customFormat="1" ht="23.25" x14ac:dyDescent="0.5">
      <c r="A139" s="904" t="s">
        <v>497</v>
      </c>
      <c r="B139" s="904"/>
      <c r="C139" s="904"/>
      <c r="D139" s="904"/>
      <c r="E139" s="904"/>
      <c r="F139" s="904"/>
      <c r="G139" s="904"/>
      <c r="H139" s="904"/>
      <c r="I139" s="904"/>
      <c r="J139" s="904"/>
      <c r="K139" s="904"/>
      <c r="L139" s="904"/>
      <c r="M139" s="904"/>
      <c r="N139" s="904"/>
      <c r="O139" s="904"/>
      <c r="P139" s="904"/>
      <c r="Q139" s="904"/>
      <c r="R139" s="904"/>
      <c r="S139" s="904"/>
      <c r="T139" s="904"/>
      <c r="U139" s="904"/>
      <c r="V139" s="904"/>
      <c r="W139" s="904"/>
      <c r="X139" s="904"/>
    </row>
    <row r="140" spans="1:24" ht="18" x14ac:dyDescent="0.4">
      <c r="A140" s="101"/>
      <c r="B140" s="102"/>
      <c r="C140" s="468"/>
      <c r="D140" s="103" t="s">
        <v>41</v>
      </c>
      <c r="E140" s="914" t="s">
        <v>110</v>
      </c>
      <c r="F140" s="915"/>
      <c r="G140" s="927" t="s">
        <v>111</v>
      </c>
      <c r="H140" s="928"/>
      <c r="I140" s="913" t="s">
        <v>112</v>
      </c>
      <c r="J140" s="916"/>
      <c r="K140" s="929" t="s">
        <v>113</v>
      </c>
      <c r="L140" s="930"/>
      <c r="M140" s="151" t="s">
        <v>113</v>
      </c>
      <c r="N140" s="927" t="s">
        <v>113</v>
      </c>
      <c r="O140" s="916"/>
      <c r="P140" s="913" t="s">
        <v>114</v>
      </c>
      <c r="Q140" s="914"/>
      <c r="R140" s="913" t="s">
        <v>115</v>
      </c>
      <c r="S140" s="914"/>
      <c r="T140" s="915"/>
      <c r="U140" s="913" t="s">
        <v>201</v>
      </c>
      <c r="V140" s="916"/>
      <c r="W140" s="151" t="s">
        <v>113</v>
      </c>
      <c r="X140" s="104"/>
    </row>
    <row r="141" spans="1:24" ht="18" x14ac:dyDescent="0.4">
      <c r="A141" s="105"/>
      <c r="B141" s="106"/>
      <c r="C141" s="469"/>
      <c r="D141" s="107"/>
      <c r="E141" s="917"/>
      <c r="F141" s="918"/>
      <c r="G141" s="919" t="s">
        <v>117</v>
      </c>
      <c r="H141" s="920"/>
      <c r="I141" s="251"/>
      <c r="J141" s="215"/>
      <c r="K141" s="921" t="s">
        <v>118</v>
      </c>
      <c r="L141" s="922"/>
      <c r="M141" s="113" t="s">
        <v>119</v>
      </c>
      <c r="N141" s="919" t="s">
        <v>120</v>
      </c>
      <c r="O141" s="923"/>
      <c r="P141" s="214"/>
      <c r="Q141" s="108"/>
      <c r="R141" s="921" t="s">
        <v>121</v>
      </c>
      <c r="S141" s="924"/>
      <c r="T141" s="922"/>
      <c r="U141" s="921" t="s">
        <v>203</v>
      </c>
      <c r="V141" s="923"/>
      <c r="W141" s="252" t="s">
        <v>122</v>
      </c>
      <c r="X141" s="109"/>
    </row>
    <row r="142" spans="1:24" ht="18" x14ac:dyDescent="0.4">
      <c r="A142" s="105" t="s">
        <v>123</v>
      </c>
      <c r="B142" s="106"/>
      <c r="C142" s="469"/>
      <c r="D142" s="110" t="s">
        <v>204</v>
      </c>
      <c r="E142" s="917" t="s">
        <v>205</v>
      </c>
      <c r="F142" s="918"/>
      <c r="G142" s="212"/>
      <c r="H142" s="254" t="s">
        <v>126</v>
      </c>
      <c r="I142" s="936" t="s">
        <v>127</v>
      </c>
      <c r="J142" s="926"/>
      <c r="K142" s="937" t="s">
        <v>128</v>
      </c>
      <c r="L142" s="938"/>
      <c r="M142" s="110"/>
      <c r="N142" s="939" t="s">
        <v>129</v>
      </c>
      <c r="O142" s="926"/>
      <c r="P142" s="936" t="s">
        <v>130</v>
      </c>
      <c r="Q142" s="940"/>
      <c r="R142" s="936" t="s">
        <v>131</v>
      </c>
      <c r="S142" s="940"/>
      <c r="T142" s="941"/>
      <c r="U142" s="936" t="s">
        <v>132</v>
      </c>
      <c r="V142" s="926"/>
      <c r="W142" s="213"/>
      <c r="X142" s="109"/>
    </row>
    <row r="143" spans="1:24" ht="18" x14ac:dyDescent="0.4">
      <c r="A143" s="111"/>
      <c r="B143" s="152"/>
      <c r="C143" s="152"/>
      <c r="D143" s="103" t="s">
        <v>134</v>
      </c>
      <c r="E143" s="103" t="s">
        <v>135</v>
      </c>
      <c r="F143" s="103" t="s">
        <v>135</v>
      </c>
      <c r="G143" s="245" t="s">
        <v>136</v>
      </c>
      <c r="H143" s="245" t="s">
        <v>137</v>
      </c>
      <c r="I143" s="174" t="s">
        <v>228</v>
      </c>
      <c r="J143" s="103" t="s">
        <v>206</v>
      </c>
      <c r="K143" s="103" t="s">
        <v>140</v>
      </c>
      <c r="L143" s="103" t="s">
        <v>141</v>
      </c>
      <c r="M143" s="103" t="s">
        <v>142</v>
      </c>
      <c r="N143" s="174" t="s">
        <v>207</v>
      </c>
      <c r="O143" s="174" t="s">
        <v>208</v>
      </c>
      <c r="P143" s="103" t="s">
        <v>138</v>
      </c>
      <c r="Q143" s="103" t="s">
        <v>144</v>
      </c>
      <c r="R143" s="103" t="s">
        <v>145</v>
      </c>
      <c r="S143" s="113" t="s">
        <v>146</v>
      </c>
      <c r="T143" s="175" t="s">
        <v>147</v>
      </c>
      <c r="U143" s="114" t="s">
        <v>148</v>
      </c>
      <c r="V143" s="103" t="s">
        <v>149</v>
      </c>
      <c r="W143" s="103" t="s">
        <v>150</v>
      </c>
      <c r="X143" s="253" t="s">
        <v>151</v>
      </c>
    </row>
    <row r="144" spans="1:24" ht="18" x14ac:dyDescent="0.4">
      <c r="A144" s="105"/>
      <c r="B144" s="106"/>
      <c r="C144" s="469"/>
      <c r="D144" s="113"/>
      <c r="E144" s="113" t="s">
        <v>152</v>
      </c>
      <c r="F144" s="113" t="s">
        <v>153</v>
      </c>
      <c r="G144" s="246" t="s">
        <v>154</v>
      </c>
      <c r="H144" s="246" t="s">
        <v>155</v>
      </c>
      <c r="I144" s="176" t="s">
        <v>229</v>
      </c>
      <c r="J144" s="113" t="s">
        <v>209</v>
      </c>
      <c r="K144" s="113" t="s">
        <v>158</v>
      </c>
      <c r="L144" s="113" t="s">
        <v>159</v>
      </c>
      <c r="M144" s="113" t="s">
        <v>160</v>
      </c>
      <c r="N144" s="176" t="s">
        <v>161</v>
      </c>
      <c r="O144" s="176"/>
      <c r="P144" s="113" t="s">
        <v>163</v>
      </c>
      <c r="Q144" s="113" t="s">
        <v>164</v>
      </c>
      <c r="R144" s="113" t="s">
        <v>165</v>
      </c>
      <c r="S144" s="113" t="s">
        <v>166</v>
      </c>
      <c r="T144" s="175" t="s">
        <v>167</v>
      </c>
      <c r="U144" s="114" t="s">
        <v>168</v>
      </c>
      <c r="V144" s="113" t="s">
        <v>169</v>
      </c>
      <c r="W144" s="113" t="s">
        <v>170</v>
      </c>
      <c r="X144" s="109"/>
    </row>
    <row r="145" spans="1:24" ht="18" x14ac:dyDescent="0.4">
      <c r="A145" s="115"/>
      <c r="B145" s="116"/>
      <c r="C145" s="470"/>
      <c r="D145" s="110" t="s">
        <v>171</v>
      </c>
      <c r="E145" s="110" t="s">
        <v>172</v>
      </c>
      <c r="F145" s="110" t="s">
        <v>173</v>
      </c>
      <c r="G145" s="247" t="s">
        <v>174</v>
      </c>
      <c r="H145" s="247"/>
      <c r="I145" s="177"/>
      <c r="J145" s="110" t="s">
        <v>210</v>
      </c>
      <c r="K145" s="110"/>
      <c r="L145" s="117" t="s">
        <v>177</v>
      </c>
      <c r="M145" s="110"/>
      <c r="N145" s="177" t="s">
        <v>179</v>
      </c>
      <c r="O145" s="177"/>
      <c r="P145" s="110" t="s">
        <v>180</v>
      </c>
      <c r="Q145" s="110" t="s">
        <v>181</v>
      </c>
      <c r="R145" s="110" t="s">
        <v>182</v>
      </c>
      <c r="S145" s="117" t="s">
        <v>183</v>
      </c>
      <c r="T145" s="177" t="s">
        <v>184</v>
      </c>
      <c r="U145" s="110" t="s">
        <v>185</v>
      </c>
      <c r="V145" s="110" t="s">
        <v>186</v>
      </c>
      <c r="W145" s="110"/>
      <c r="X145" s="118"/>
    </row>
    <row r="146" spans="1:24" ht="18" x14ac:dyDescent="0.4">
      <c r="A146" s="181" t="s">
        <v>578</v>
      </c>
      <c r="B146" s="519"/>
      <c r="C146" s="499"/>
      <c r="D146" s="183"/>
      <c r="E146" s="183"/>
      <c r="F146" s="183"/>
      <c r="G146" s="183"/>
      <c r="H146" s="184"/>
      <c r="I146" s="184"/>
      <c r="J146" s="183"/>
      <c r="K146" s="183"/>
      <c r="L146" s="183"/>
      <c r="M146" s="183"/>
      <c r="N146" s="184"/>
      <c r="O146" s="184"/>
      <c r="P146" s="183"/>
      <c r="Q146" s="183"/>
      <c r="R146" s="183"/>
      <c r="S146" s="183"/>
      <c r="T146" s="184"/>
      <c r="U146" s="183"/>
      <c r="V146" s="183"/>
      <c r="W146" s="183"/>
      <c r="X146" s="109"/>
    </row>
    <row r="147" spans="1:24" ht="21" x14ac:dyDescent="0.45">
      <c r="A147" s="196" t="s">
        <v>579</v>
      </c>
      <c r="B147" s="507"/>
      <c r="C147" s="489"/>
      <c r="D147" s="130"/>
      <c r="E147" s="130"/>
      <c r="F147" s="130"/>
      <c r="G147" s="130"/>
      <c r="H147" s="143"/>
      <c r="I147" s="143"/>
      <c r="J147" s="130"/>
      <c r="K147" s="130"/>
      <c r="L147" s="130"/>
      <c r="M147" s="130"/>
      <c r="N147" s="143"/>
      <c r="O147" s="143"/>
      <c r="P147" s="130"/>
      <c r="Q147" s="130"/>
      <c r="R147" s="130"/>
      <c r="S147" s="130"/>
      <c r="T147" s="143"/>
      <c r="U147" s="130"/>
      <c r="V147" s="130"/>
      <c r="W147" s="130"/>
      <c r="X147" s="130"/>
    </row>
    <row r="148" spans="1:24" ht="21" x14ac:dyDescent="0.45">
      <c r="A148" s="529" t="s">
        <v>583</v>
      </c>
      <c r="B148" s="507"/>
      <c r="C148" s="489"/>
      <c r="D148" s="130"/>
      <c r="E148" s="130"/>
      <c r="F148" s="130"/>
      <c r="G148" s="130"/>
      <c r="H148" s="143"/>
      <c r="I148" s="143"/>
      <c r="J148" s="130"/>
      <c r="K148" s="130"/>
      <c r="L148" s="130"/>
      <c r="M148" s="130"/>
      <c r="N148" s="143"/>
      <c r="O148" s="143"/>
      <c r="P148" s="130"/>
      <c r="Q148" s="130"/>
      <c r="R148" s="130"/>
      <c r="S148" s="130"/>
      <c r="T148" s="143"/>
      <c r="U148" s="130"/>
      <c r="V148" s="130"/>
      <c r="W148" s="130"/>
      <c r="X148" s="130"/>
    </row>
    <row r="149" spans="1:24" ht="18" x14ac:dyDescent="0.4">
      <c r="A149" s="486" t="s">
        <v>582</v>
      </c>
      <c r="B149" s="507"/>
      <c r="C149" s="505">
        <f>88000+44000</f>
        <v>132000</v>
      </c>
      <c r="D149" s="130"/>
      <c r="E149" s="130"/>
      <c r="F149" s="130"/>
      <c r="G149" s="130"/>
      <c r="H149" s="143"/>
      <c r="I149" s="143"/>
      <c r="J149" s="130"/>
      <c r="K149" s="130"/>
      <c r="L149" s="130"/>
      <c r="M149" s="130"/>
      <c r="N149" s="143"/>
      <c r="O149" s="143"/>
      <c r="P149" s="130"/>
      <c r="Q149" s="130"/>
      <c r="R149" s="130"/>
      <c r="S149" s="130"/>
      <c r="T149" s="143"/>
      <c r="U149" s="130"/>
      <c r="V149" s="130"/>
      <c r="W149" s="130"/>
      <c r="X149" s="130"/>
    </row>
    <row r="150" spans="1:24" ht="21" x14ac:dyDescent="0.45">
      <c r="A150" s="529" t="s">
        <v>584</v>
      </c>
      <c r="B150" s="507"/>
      <c r="C150" s="505"/>
      <c r="D150" s="130"/>
      <c r="E150" s="130"/>
      <c r="F150" s="130"/>
      <c r="G150" s="130"/>
      <c r="H150" s="143"/>
      <c r="I150" s="143"/>
      <c r="J150" s="130"/>
      <c r="K150" s="130"/>
      <c r="L150" s="130"/>
      <c r="M150" s="130"/>
      <c r="N150" s="143"/>
      <c r="O150" s="143"/>
      <c r="P150" s="130"/>
      <c r="Q150" s="130"/>
      <c r="R150" s="130"/>
      <c r="S150" s="130"/>
      <c r="T150" s="143"/>
      <c r="U150" s="130"/>
      <c r="V150" s="130"/>
      <c r="W150" s="130"/>
      <c r="X150" s="130"/>
    </row>
    <row r="151" spans="1:24" ht="21" x14ac:dyDescent="0.45">
      <c r="A151" s="485" t="s">
        <v>585</v>
      </c>
      <c r="B151" s="507"/>
      <c r="C151" s="505">
        <v>23000</v>
      </c>
      <c r="D151" s="130"/>
      <c r="E151" s="130"/>
      <c r="F151" s="130"/>
      <c r="G151" s="130"/>
      <c r="H151" s="143"/>
      <c r="I151" s="143"/>
      <c r="J151" s="130"/>
      <c r="K151" s="130"/>
      <c r="L151" s="130"/>
      <c r="M151" s="130"/>
      <c r="N151" s="143"/>
      <c r="O151" s="143"/>
      <c r="P151" s="130"/>
      <c r="Q151" s="130"/>
      <c r="R151" s="130"/>
      <c r="S151" s="130"/>
      <c r="T151" s="143"/>
      <c r="U151" s="130"/>
      <c r="V151" s="130"/>
      <c r="W151" s="130"/>
      <c r="X151" s="130"/>
    </row>
    <row r="152" spans="1:24" ht="18" x14ac:dyDescent="0.4">
      <c r="A152" s="486" t="s">
        <v>586</v>
      </c>
      <c r="B152" s="507"/>
      <c r="C152" s="505">
        <v>3100</v>
      </c>
      <c r="D152" s="130"/>
      <c r="E152" s="130"/>
      <c r="F152" s="130"/>
      <c r="G152" s="130"/>
      <c r="H152" s="143"/>
      <c r="I152" s="143"/>
      <c r="J152" s="130"/>
      <c r="K152" s="130"/>
      <c r="L152" s="130"/>
      <c r="M152" s="130"/>
      <c r="N152" s="143"/>
      <c r="O152" s="143"/>
      <c r="P152" s="130"/>
      <c r="Q152" s="130"/>
      <c r="R152" s="130"/>
      <c r="S152" s="130"/>
      <c r="T152" s="143"/>
      <c r="U152" s="130"/>
      <c r="V152" s="130"/>
      <c r="W152" s="130"/>
      <c r="X152" s="130"/>
    </row>
    <row r="153" spans="1:24" ht="21" x14ac:dyDescent="0.45">
      <c r="A153" s="529"/>
      <c r="B153" s="507"/>
      <c r="C153" s="505"/>
      <c r="D153" s="130"/>
      <c r="E153" s="130"/>
      <c r="F153" s="130"/>
      <c r="G153" s="130"/>
      <c r="H153" s="143"/>
      <c r="I153" s="143"/>
      <c r="J153" s="130"/>
      <c r="K153" s="130"/>
      <c r="L153" s="130"/>
      <c r="M153" s="130"/>
      <c r="N153" s="143"/>
      <c r="O153" s="143"/>
      <c r="P153" s="130"/>
      <c r="Q153" s="130"/>
      <c r="R153" s="130"/>
      <c r="S153" s="130"/>
      <c r="T153" s="143"/>
      <c r="U153" s="130"/>
      <c r="V153" s="130"/>
      <c r="W153" s="130"/>
      <c r="X153" s="130"/>
    </row>
    <row r="154" spans="1:24" ht="18.75" x14ac:dyDescent="0.45">
      <c r="A154" s="197" t="s">
        <v>580</v>
      </c>
      <c r="B154" s="507"/>
      <c r="C154" s="505">
        <f>50000+100000</f>
        <v>150000</v>
      </c>
      <c r="D154" s="130"/>
      <c r="E154" s="130">
        <v>0</v>
      </c>
      <c r="F154" s="130">
        <v>0</v>
      </c>
      <c r="G154" s="130"/>
      <c r="H154" s="143"/>
      <c r="I154" s="143"/>
      <c r="J154" s="130"/>
      <c r="K154" s="130"/>
      <c r="L154" s="130"/>
      <c r="M154" s="130"/>
      <c r="N154" s="143"/>
      <c r="O154" s="143"/>
      <c r="P154" s="130">
        <v>0</v>
      </c>
      <c r="Q154" s="130"/>
      <c r="R154" s="130"/>
      <c r="S154" s="130"/>
      <c r="T154" s="143"/>
      <c r="U154" s="130"/>
      <c r="V154" s="130"/>
      <c r="W154" s="130"/>
      <c r="X154" s="130"/>
    </row>
    <row r="155" spans="1:24" ht="18" x14ac:dyDescent="0.4">
      <c r="A155" s="163"/>
      <c r="B155" s="507">
        <v>420100</v>
      </c>
      <c r="C155" s="505"/>
      <c r="D155" s="130"/>
      <c r="E155" s="130"/>
      <c r="F155" s="130"/>
      <c r="G155" s="130"/>
      <c r="H155" s="143"/>
      <c r="I155" s="143"/>
      <c r="J155" s="130"/>
      <c r="K155" s="130"/>
      <c r="L155" s="130"/>
      <c r="M155" s="130"/>
      <c r="N155" s="143"/>
      <c r="O155" s="143"/>
      <c r="P155" s="130"/>
      <c r="Q155" s="130"/>
      <c r="R155" s="130"/>
      <c r="S155" s="130"/>
      <c r="T155" s="143"/>
      <c r="U155" s="130"/>
      <c r="V155" s="130"/>
      <c r="W155" s="130"/>
      <c r="X155" s="130"/>
    </row>
    <row r="156" spans="1:24" s="136" customFormat="1" ht="18" x14ac:dyDescent="0.4">
      <c r="A156" s="131"/>
      <c r="B156" s="507"/>
      <c r="C156" s="505"/>
      <c r="D156" s="130">
        <v>0</v>
      </c>
      <c r="E156" s="130">
        <v>0</v>
      </c>
      <c r="F156" s="130">
        <v>0</v>
      </c>
      <c r="G156" s="130"/>
      <c r="H156" s="130">
        <v>0</v>
      </c>
      <c r="I156" s="130">
        <v>0</v>
      </c>
      <c r="J156" s="130">
        <v>0</v>
      </c>
      <c r="K156" s="130">
        <v>0</v>
      </c>
      <c r="L156" s="130"/>
      <c r="M156" s="130">
        <v>0</v>
      </c>
      <c r="N156" s="130">
        <v>0</v>
      </c>
      <c r="O156" s="130"/>
      <c r="P156" s="198">
        <v>0</v>
      </c>
      <c r="Q156" s="130">
        <v>0</v>
      </c>
      <c r="R156" s="130">
        <v>0</v>
      </c>
      <c r="S156" s="130"/>
      <c r="T156" s="130">
        <v>0</v>
      </c>
      <c r="U156" s="130">
        <v>0</v>
      </c>
      <c r="V156" s="130">
        <v>0</v>
      </c>
      <c r="W156" s="130">
        <v>0</v>
      </c>
      <c r="X156" s="130">
        <f>SUM(D156:W156)</f>
        <v>0</v>
      </c>
    </row>
    <row r="157" spans="1:24" ht="18" x14ac:dyDescent="0.4">
      <c r="A157" s="133" t="s">
        <v>189</v>
      </c>
      <c r="B157" s="512"/>
      <c r="C157" s="490">
        <f>SUM(C147:C156)</f>
        <v>308100</v>
      </c>
      <c r="D157" s="135">
        <f>SUM(D156:D156)</f>
        <v>0</v>
      </c>
      <c r="E157" s="135">
        <f>SUM(E154:E156)</f>
        <v>0</v>
      </c>
      <c r="F157" s="135">
        <f>SUM(F154:F156)</f>
        <v>0</v>
      </c>
      <c r="G157" s="135"/>
      <c r="H157" s="135">
        <f>SUM(H156:H156)</f>
        <v>0</v>
      </c>
      <c r="I157" s="135">
        <f>SUM(I156:I156)</f>
        <v>0</v>
      </c>
      <c r="J157" s="135">
        <f>SUM(J156:J156)</f>
        <v>0</v>
      </c>
      <c r="K157" s="135">
        <f>SUM(K156:K156)</f>
        <v>0</v>
      </c>
      <c r="L157" s="135"/>
      <c r="M157" s="135">
        <f>SUM(M156:M156)</f>
        <v>0</v>
      </c>
      <c r="N157" s="135">
        <f>SUM(N156:N156)</f>
        <v>0</v>
      </c>
      <c r="O157" s="135"/>
      <c r="P157" s="135">
        <f>SUM(P146:P156)</f>
        <v>0</v>
      </c>
      <c r="Q157" s="135">
        <f>SUM(Q156:Q156)</f>
        <v>0</v>
      </c>
      <c r="R157" s="135">
        <f>SUM(R156:R156)</f>
        <v>0</v>
      </c>
      <c r="S157" s="135"/>
      <c r="T157" s="135">
        <f>SUM(T156:T156)</f>
        <v>0</v>
      </c>
      <c r="U157" s="135">
        <f>SUM(U156:U156)</f>
        <v>0</v>
      </c>
      <c r="V157" s="135">
        <f>SUM(V156:V156)</f>
        <v>0</v>
      </c>
      <c r="W157" s="135">
        <f>SUM(W156:W156)</f>
        <v>0</v>
      </c>
      <c r="X157" s="135">
        <f>SUM(X156:X156)</f>
        <v>0</v>
      </c>
    </row>
    <row r="158" spans="1:24" s="136" customFormat="1" ht="21" x14ac:dyDescent="0.45">
      <c r="A158" s="119" t="s">
        <v>251</v>
      </c>
      <c r="B158" s="507">
        <v>542000</v>
      </c>
      <c r="C158" s="489"/>
      <c r="D158" s="199"/>
      <c r="E158" s="200"/>
      <c r="F158" s="200"/>
      <c r="G158" s="200"/>
      <c r="H158" s="201"/>
      <c r="I158" s="201"/>
      <c r="J158" s="200"/>
      <c r="K158" s="200"/>
      <c r="L158" s="200"/>
      <c r="M158" s="200"/>
      <c r="N158" s="201"/>
      <c r="O158" s="201"/>
      <c r="P158" s="200"/>
      <c r="Q158" s="200"/>
      <c r="R158" s="200"/>
      <c r="S158" s="200"/>
      <c r="T158" s="201"/>
      <c r="U158" s="200"/>
      <c r="V158" s="200"/>
      <c r="W158" s="200"/>
      <c r="X158" s="200"/>
    </row>
    <row r="159" spans="1:24" ht="18" x14ac:dyDescent="0.4">
      <c r="A159" s="484" t="s">
        <v>310</v>
      </c>
      <c r="B159" s="507"/>
      <c r="C159" s="489"/>
      <c r="D159" s="200">
        <f>SUM(AA173)</f>
        <v>0</v>
      </c>
      <c r="E159" s="200">
        <f>SUM(AB173)</f>
        <v>0</v>
      </c>
      <c r="F159" s="200">
        <f>SUM(AC173)</f>
        <v>0</v>
      </c>
      <c r="G159" s="200">
        <f>SUM(AB173)</f>
        <v>0</v>
      </c>
      <c r="H159" s="200">
        <f>SUM(AD173)</f>
        <v>0</v>
      </c>
      <c r="I159" s="200">
        <f>SUM(AE173)</f>
        <v>0</v>
      </c>
      <c r="J159" s="200">
        <f>SUM(AF173)</f>
        <v>0</v>
      </c>
      <c r="K159" s="200">
        <f>SUM(AG173)</f>
        <v>0</v>
      </c>
      <c r="L159" s="200"/>
      <c r="M159" s="200">
        <f>SUM(AH173)</f>
        <v>0</v>
      </c>
      <c r="N159" s="200">
        <f>SUM(AI173)</f>
        <v>0</v>
      </c>
      <c r="O159" s="200"/>
      <c r="P159" s="200">
        <f>SUM(AJ173)</f>
        <v>0</v>
      </c>
      <c r="Q159" s="200">
        <v>0</v>
      </c>
      <c r="R159" s="200">
        <f>SUM(AM173)</f>
        <v>0</v>
      </c>
      <c r="S159" s="200">
        <f>SUM(AN173)</f>
        <v>0</v>
      </c>
      <c r="T159" s="200">
        <f>SUM(AN173)</f>
        <v>0</v>
      </c>
      <c r="U159" s="200">
        <f>SUM(AO173)</f>
        <v>0</v>
      </c>
      <c r="V159" s="200">
        <f>SUM(AP173)</f>
        <v>0</v>
      </c>
      <c r="W159" s="200">
        <v>0</v>
      </c>
      <c r="X159" s="200">
        <f t="shared" ref="X159:X166" si="12">SUM(D159:W159)</f>
        <v>0</v>
      </c>
    </row>
    <row r="160" spans="1:24" ht="18" x14ac:dyDescent="0.4">
      <c r="A160" s="484" t="s">
        <v>316</v>
      </c>
      <c r="B160" s="507"/>
      <c r="C160" s="489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>
        <v>0</v>
      </c>
      <c r="R160" s="200"/>
      <c r="S160" s="200"/>
      <c r="T160" s="200"/>
      <c r="U160" s="200"/>
      <c r="V160" s="200"/>
      <c r="W160" s="200"/>
      <c r="X160" s="200">
        <f t="shared" si="12"/>
        <v>0</v>
      </c>
    </row>
    <row r="161" spans="1:26" ht="18" x14ac:dyDescent="0.4">
      <c r="A161" s="484" t="s">
        <v>311</v>
      </c>
      <c r="B161" s="507"/>
      <c r="C161" s="489"/>
      <c r="D161" s="200">
        <f>SUM(AA176)</f>
        <v>0</v>
      </c>
      <c r="E161" s="200">
        <f>SUM(AB176)</f>
        <v>0</v>
      </c>
      <c r="F161" s="200">
        <f>SUM(AC176)</f>
        <v>0</v>
      </c>
      <c r="G161" s="200">
        <f>SUM(AB176)</f>
        <v>0</v>
      </c>
      <c r="H161" s="200">
        <f>SUM(AD176)</f>
        <v>0</v>
      </c>
      <c r="I161" s="200">
        <f>SUM(AE176)</f>
        <v>0</v>
      </c>
      <c r="J161" s="200">
        <f>SUM(AF176)</f>
        <v>0</v>
      </c>
      <c r="K161" s="200">
        <f>SUM(AG176)</f>
        <v>0</v>
      </c>
      <c r="L161" s="200"/>
      <c r="M161" s="200">
        <f>SUM(AH176)</f>
        <v>0</v>
      </c>
      <c r="N161" s="200">
        <f>SUM(AI176)</f>
        <v>0</v>
      </c>
      <c r="O161" s="200"/>
      <c r="P161" s="200">
        <f>SUM(AJ176)</f>
        <v>0</v>
      </c>
      <c r="Q161" s="200">
        <v>0</v>
      </c>
      <c r="R161" s="200">
        <f>SUM(AM176)</f>
        <v>0</v>
      </c>
      <c r="S161" s="200">
        <f>SUM(AN176)</f>
        <v>0</v>
      </c>
      <c r="T161" s="200">
        <f>SUM(AN176)</f>
        <v>0</v>
      </c>
      <c r="U161" s="200">
        <v>0</v>
      </c>
      <c r="V161" s="200">
        <f>SUM(AP176)</f>
        <v>0</v>
      </c>
      <c r="W161" s="200">
        <f>SUM(AL176)</f>
        <v>0</v>
      </c>
      <c r="X161" s="200">
        <f t="shared" si="12"/>
        <v>0</v>
      </c>
    </row>
    <row r="162" spans="1:26" ht="18" x14ac:dyDescent="0.4">
      <c r="A162" s="484" t="s">
        <v>315</v>
      </c>
      <c r="B162" s="507"/>
      <c r="C162" s="489"/>
      <c r="D162" s="200">
        <v>0</v>
      </c>
      <c r="E162" s="200">
        <v>0</v>
      </c>
      <c r="F162" s="200">
        <v>0</v>
      </c>
      <c r="G162" s="200">
        <f>SUM(AB177)</f>
        <v>0</v>
      </c>
      <c r="H162" s="200">
        <v>0</v>
      </c>
      <c r="I162" s="200">
        <v>0</v>
      </c>
      <c r="J162" s="200">
        <v>0</v>
      </c>
      <c r="K162" s="200">
        <v>0</v>
      </c>
      <c r="L162" s="200"/>
      <c r="M162" s="200">
        <v>0</v>
      </c>
      <c r="N162" s="200">
        <v>0</v>
      </c>
      <c r="O162" s="200"/>
      <c r="P162" s="200">
        <v>0</v>
      </c>
      <c r="Q162" s="200">
        <v>0</v>
      </c>
      <c r="R162" s="200">
        <f>SUM(AM177)</f>
        <v>0</v>
      </c>
      <c r="S162" s="200">
        <f>SUM(AN177)</f>
        <v>0</v>
      </c>
      <c r="T162" s="200">
        <f>SUM(AN177)</f>
        <v>0</v>
      </c>
      <c r="U162" s="200">
        <v>0</v>
      </c>
      <c r="V162" s="200"/>
      <c r="W162" s="200">
        <v>0</v>
      </c>
      <c r="X162" s="200">
        <f t="shared" si="12"/>
        <v>0</v>
      </c>
    </row>
    <row r="163" spans="1:26" ht="18" x14ac:dyDescent="0.4">
      <c r="A163" s="484" t="s">
        <v>312</v>
      </c>
      <c r="B163" s="507"/>
      <c r="C163" s="489"/>
      <c r="D163" s="200">
        <v>0</v>
      </c>
      <c r="E163" s="200">
        <v>0</v>
      </c>
      <c r="F163" s="200">
        <v>0</v>
      </c>
      <c r="G163" s="200">
        <v>0</v>
      </c>
      <c r="H163" s="200">
        <v>0</v>
      </c>
      <c r="I163" s="200">
        <v>0</v>
      </c>
      <c r="J163" s="200">
        <v>0</v>
      </c>
      <c r="K163" s="200">
        <v>0</v>
      </c>
      <c r="L163" s="200"/>
      <c r="M163" s="200">
        <v>0</v>
      </c>
      <c r="N163" s="200">
        <v>0</v>
      </c>
      <c r="O163" s="200"/>
      <c r="P163" s="200">
        <v>0</v>
      </c>
      <c r="Q163" s="200">
        <v>0</v>
      </c>
      <c r="R163" s="200">
        <v>0</v>
      </c>
      <c r="S163" s="200">
        <v>0</v>
      </c>
      <c r="T163" s="200">
        <v>0</v>
      </c>
      <c r="U163" s="200">
        <v>0</v>
      </c>
      <c r="V163" s="200">
        <v>0</v>
      </c>
      <c r="W163" s="200">
        <v>0</v>
      </c>
      <c r="X163" s="200">
        <f t="shared" si="12"/>
        <v>0</v>
      </c>
    </row>
    <row r="164" spans="1:26" ht="18" x14ac:dyDescent="0.4">
      <c r="A164" s="484" t="s">
        <v>314</v>
      </c>
      <c r="B164" s="507"/>
      <c r="C164" s="489"/>
      <c r="D164" s="130">
        <v>0</v>
      </c>
      <c r="E164" s="130">
        <v>0</v>
      </c>
      <c r="F164" s="130">
        <v>0</v>
      </c>
      <c r="G164" s="130">
        <v>0</v>
      </c>
      <c r="H164" s="130">
        <v>0</v>
      </c>
      <c r="I164" s="130">
        <v>0</v>
      </c>
      <c r="J164" s="130">
        <v>0</v>
      </c>
      <c r="K164" s="130">
        <v>0</v>
      </c>
      <c r="L164" s="130"/>
      <c r="M164" s="130">
        <v>0</v>
      </c>
      <c r="N164" s="130">
        <v>0</v>
      </c>
      <c r="O164" s="130"/>
      <c r="P164" s="130">
        <v>0</v>
      </c>
      <c r="Q164" s="130">
        <v>0</v>
      </c>
      <c r="R164" s="130">
        <v>0</v>
      </c>
      <c r="S164" s="130">
        <v>0</v>
      </c>
      <c r="T164" s="130">
        <v>0</v>
      </c>
      <c r="U164" s="130">
        <v>0</v>
      </c>
      <c r="V164" s="130">
        <v>0</v>
      </c>
      <c r="W164" s="130">
        <v>0</v>
      </c>
      <c r="X164" s="200">
        <f t="shared" si="12"/>
        <v>0</v>
      </c>
    </row>
    <row r="165" spans="1:26" ht="18" x14ac:dyDescent="0.4">
      <c r="A165" s="484" t="s">
        <v>313</v>
      </c>
      <c r="B165" s="507"/>
      <c r="C165" s="489"/>
      <c r="D165" s="130">
        <v>0</v>
      </c>
      <c r="E165" s="130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 s="130">
        <v>0</v>
      </c>
      <c r="L165" s="130"/>
      <c r="M165" s="130">
        <v>0</v>
      </c>
      <c r="N165" s="130">
        <v>0</v>
      </c>
      <c r="O165" s="130"/>
      <c r="P165" s="130">
        <v>0</v>
      </c>
      <c r="Q165" s="130">
        <v>0</v>
      </c>
      <c r="R165" s="130">
        <v>0</v>
      </c>
      <c r="S165" s="130">
        <v>0</v>
      </c>
      <c r="T165" s="130">
        <v>0</v>
      </c>
      <c r="U165" s="130">
        <v>0</v>
      </c>
      <c r="V165" s="130">
        <v>0</v>
      </c>
      <c r="W165" s="130">
        <v>0</v>
      </c>
      <c r="X165" s="200">
        <f t="shared" si="12"/>
        <v>0</v>
      </c>
    </row>
    <row r="166" spans="1:26" s="136" customFormat="1" ht="18" x14ac:dyDescent="0.4">
      <c r="A166" s="484" t="s">
        <v>317</v>
      </c>
      <c r="B166" s="507"/>
      <c r="C166" s="489"/>
      <c r="D166" s="130">
        <v>0</v>
      </c>
      <c r="E166" s="130">
        <v>0</v>
      </c>
      <c r="F166" s="130">
        <v>0</v>
      </c>
      <c r="G166" s="130">
        <v>0</v>
      </c>
      <c r="H166" s="130">
        <v>0</v>
      </c>
      <c r="I166" s="130">
        <v>0</v>
      </c>
      <c r="J166" s="130">
        <v>0</v>
      </c>
      <c r="K166" s="130">
        <v>0</v>
      </c>
      <c r="L166" s="130"/>
      <c r="M166" s="130">
        <v>0</v>
      </c>
      <c r="N166" s="130">
        <v>0</v>
      </c>
      <c r="O166" s="130"/>
      <c r="P166" s="130">
        <v>0</v>
      </c>
      <c r="Q166" s="130">
        <v>0</v>
      </c>
      <c r="R166" s="130">
        <v>0</v>
      </c>
      <c r="S166" s="130">
        <v>0</v>
      </c>
      <c r="T166" s="130">
        <v>0</v>
      </c>
      <c r="U166" s="130">
        <v>0</v>
      </c>
      <c r="V166" s="130">
        <v>0</v>
      </c>
      <c r="W166" s="130">
        <v>0</v>
      </c>
      <c r="X166" s="200">
        <f t="shared" si="12"/>
        <v>0</v>
      </c>
    </row>
    <row r="167" spans="1:26" s="136" customFormat="1" ht="18" x14ac:dyDescent="0.4">
      <c r="A167" s="484" t="s">
        <v>318</v>
      </c>
      <c r="B167" s="507"/>
      <c r="C167" s="48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>
        <v>0</v>
      </c>
      <c r="R167" s="130"/>
      <c r="S167" s="130"/>
      <c r="T167" s="130"/>
      <c r="U167" s="130"/>
      <c r="V167" s="130"/>
      <c r="W167" s="130"/>
      <c r="X167" s="200"/>
    </row>
    <row r="168" spans="1:26" s="136" customFormat="1" ht="18" x14ac:dyDescent="0.4">
      <c r="A168" s="484" t="s">
        <v>319</v>
      </c>
      <c r="B168" s="507"/>
      <c r="C168" s="48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200"/>
    </row>
    <row r="169" spans="1:26" s="136" customFormat="1" ht="18" x14ac:dyDescent="0.4">
      <c r="A169" s="483" t="s">
        <v>320</v>
      </c>
      <c r="B169" s="511"/>
      <c r="C169" s="493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>
        <v>0</v>
      </c>
      <c r="V169" s="149">
        <v>0</v>
      </c>
      <c r="W169" s="149"/>
      <c r="X169" s="207"/>
    </row>
    <row r="170" spans="1:26" s="208" customFormat="1" ht="18" x14ac:dyDescent="0.4">
      <c r="A170" s="242" t="s">
        <v>189</v>
      </c>
      <c r="B170" s="522"/>
      <c r="C170" s="500"/>
      <c r="D170" s="160">
        <f>SUM(D147:D169)</f>
        <v>0</v>
      </c>
      <c r="E170" s="160">
        <f>SUM(E159:E169)</f>
        <v>0</v>
      </c>
      <c r="F170" s="160">
        <f>SUM(F159:F169)</f>
        <v>0</v>
      </c>
      <c r="G170" s="160"/>
      <c r="H170" s="160">
        <f>SUM(H147:H169)</f>
        <v>0</v>
      </c>
      <c r="I170" s="160">
        <f>SUM(I147:I169)</f>
        <v>0</v>
      </c>
      <c r="J170" s="160">
        <f>SUM(J147:J169)</f>
        <v>0</v>
      </c>
      <c r="K170" s="160">
        <f>SUM(K147:K169)</f>
        <v>0</v>
      </c>
      <c r="L170" s="160"/>
      <c r="M170" s="160">
        <f>SUM(M147:M169)</f>
        <v>0</v>
      </c>
      <c r="N170" s="160">
        <f>SUM(N147:N169)</f>
        <v>0</v>
      </c>
      <c r="O170" s="160"/>
      <c r="P170" s="160">
        <f>SUM(P159:P169)</f>
        <v>0</v>
      </c>
      <c r="Q170" s="160">
        <f>SUM(Q159:Q169)</f>
        <v>0</v>
      </c>
      <c r="R170" s="160">
        <f>SUM(R147:R169)</f>
        <v>0</v>
      </c>
      <c r="S170" s="160"/>
      <c r="T170" s="160">
        <f>SUM(T147:T169)</f>
        <v>0</v>
      </c>
      <c r="U170" s="160">
        <f>SUM(U159:U169)</f>
        <v>0</v>
      </c>
      <c r="V170" s="160">
        <f>SUM(V147:V169)</f>
        <v>0</v>
      </c>
      <c r="W170" s="160">
        <f>SUM(W147:W169)</f>
        <v>0</v>
      </c>
      <c r="X170" s="160">
        <f>SUM(D170:W170)</f>
        <v>0</v>
      </c>
      <c r="Y170" s="243"/>
      <c r="Z170" s="244"/>
    </row>
    <row r="171" spans="1:26" s="136" customFormat="1" ht="18" x14ac:dyDescent="0.4">
      <c r="A171" s="209" t="s">
        <v>260</v>
      </c>
      <c r="B171" s="518"/>
      <c r="C171" s="492"/>
      <c r="D171" s="123">
        <v>0</v>
      </c>
      <c r="E171" s="123">
        <v>0</v>
      </c>
      <c r="F171" s="123">
        <v>0</v>
      </c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/>
      <c r="M171" s="123">
        <v>0</v>
      </c>
      <c r="N171" s="123">
        <v>0</v>
      </c>
      <c r="O171" s="123"/>
      <c r="P171" s="123">
        <v>0</v>
      </c>
      <c r="Q171" s="123"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210">
        <f t="shared" ref="X171:X177" si="13">SUM(D171:W171)</f>
        <v>0</v>
      </c>
    </row>
    <row r="172" spans="1:26" ht="18" x14ac:dyDescent="0.4">
      <c r="A172" s="486" t="s">
        <v>581</v>
      </c>
      <c r="B172" s="507"/>
      <c r="C172" s="505">
        <v>20000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30">
        <v>0</v>
      </c>
      <c r="K172" s="130">
        <v>0</v>
      </c>
      <c r="L172" s="130"/>
      <c r="M172" s="130">
        <v>0</v>
      </c>
      <c r="N172" s="130">
        <v>0</v>
      </c>
      <c r="O172" s="130"/>
      <c r="P172" s="130">
        <v>0</v>
      </c>
      <c r="Q172" s="130"/>
      <c r="R172" s="130">
        <v>0</v>
      </c>
      <c r="S172" s="130">
        <v>0</v>
      </c>
      <c r="T172" s="130">
        <v>0</v>
      </c>
      <c r="U172" s="130">
        <v>0</v>
      </c>
      <c r="V172" s="130">
        <v>0</v>
      </c>
      <c r="W172" s="130">
        <v>0</v>
      </c>
      <c r="X172" s="200">
        <f t="shared" si="13"/>
        <v>0</v>
      </c>
    </row>
    <row r="173" spans="1:26" ht="18" x14ac:dyDescent="0.4">
      <c r="A173" s="189"/>
      <c r="B173" s="507"/>
      <c r="C173" s="505"/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30">
        <v>0</v>
      </c>
      <c r="K173" s="130">
        <v>0</v>
      </c>
      <c r="L173" s="130"/>
      <c r="M173" s="130">
        <v>0</v>
      </c>
      <c r="N173" s="130">
        <v>0</v>
      </c>
      <c r="O173" s="130"/>
      <c r="P173" s="130">
        <v>0</v>
      </c>
      <c r="Q173" s="130">
        <v>0</v>
      </c>
      <c r="R173" s="130">
        <v>0</v>
      </c>
      <c r="S173" s="130">
        <v>0</v>
      </c>
      <c r="T173" s="130">
        <v>0</v>
      </c>
      <c r="U173" s="130">
        <v>0</v>
      </c>
      <c r="V173" s="130">
        <v>0</v>
      </c>
      <c r="W173" s="130">
        <v>0</v>
      </c>
      <c r="X173" s="200">
        <f t="shared" si="13"/>
        <v>0</v>
      </c>
    </row>
    <row r="174" spans="1:26" ht="18" x14ac:dyDescent="0.4">
      <c r="A174" s="189"/>
      <c r="B174" s="507"/>
      <c r="C174" s="505"/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I174" s="130">
        <v>0</v>
      </c>
      <c r="J174" s="130">
        <v>0</v>
      </c>
      <c r="K174" s="130">
        <v>0</v>
      </c>
      <c r="L174" s="130"/>
      <c r="M174" s="130">
        <v>0</v>
      </c>
      <c r="N174" s="130">
        <v>0</v>
      </c>
      <c r="O174" s="130"/>
      <c r="P174" s="130">
        <v>0</v>
      </c>
      <c r="Q174" s="130">
        <v>0</v>
      </c>
      <c r="R174" s="130">
        <v>0</v>
      </c>
      <c r="S174" s="130">
        <v>0</v>
      </c>
      <c r="T174" s="130">
        <v>0</v>
      </c>
      <c r="U174" s="130">
        <v>0</v>
      </c>
      <c r="V174" s="130">
        <v>0</v>
      </c>
      <c r="W174" s="130">
        <v>0</v>
      </c>
      <c r="X174" s="200">
        <f t="shared" si="13"/>
        <v>0</v>
      </c>
    </row>
    <row r="175" spans="1:26" ht="18" x14ac:dyDescent="0.4">
      <c r="A175" s="189"/>
      <c r="B175" s="507"/>
      <c r="C175" s="505"/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/>
      <c r="M175" s="130">
        <v>0</v>
      </c>
      <c r="N175" s="130">
        <v>0</v>
      </c>
      <c r="O175" s="130"/>
      <c r="P175" s="130">
        <v>0</v>
      </c>
      <c r="Q175" s="130">
        <v>0</v>
      </c>
      <c r="R175" s="130">
        <v>0</v>
      </c>
      <c r="S175" s="130">
        <v>0</v>
      </c>
      <c r="T175" s="130">
        <v>0</v>
      </c>
      <c r="U175" s="130">
        <v>0</v>
      </c>
      <c r="V175" s="130">
        <v>0</v>
      </c>
      <c r="W175" s="130">
        <v>0</v>
      </c>
      <c r="X175" s="200">
        <f t="shared" si="13"/>
        <v>0</v>
      </c>
    </row>
    <row r="176" spans="1:26" s="204" customFormat="1" ht="18.75" thickBot="1" x14ac:dyDescent="0.45">
      <c r="A176" s="236" t="s">
        <v>189</v>
      </c>
      <c r="B176" s="497"/>
      <c r="C176" s="530">
        <f>SUM(C172:C175)</f>
        <v>20000</v>
      </c>
      <c r="D176" s="503">
        <f>SUM(D159:D175)</f>
        <v>0</v>
      </c>
      <c r="E176" s="203">
        <f>SUM(E159:E175)</f>
        <v>0</v>
      </c>
      <c r="F176" s="203">
        <f>SUM(F159:F175)</f>
        <v>0</v>
      </c>
      <c r="G176" s="203"/>
      <c r="H176" s="203">
        <f>SUM(H159:H175)</f>
        <v>0</v>
      </c>
      <c r="I176" s="203">
        <f>SUM(I159:I175)</f>
        <v>0</v>
      </c>
      <c r="J176" s="203">
        <f>SUM(J159:J175)</f>
        <v>0</v>
      </c>
      <c r="K176" s="203">
        <f>SUM(K159:K175)</f>
        <v>0</v>
      </c>
      <c r="L176" s="203"/>
      <c r="M176" s="203">
        <f>SUM(M159:M175)</f>
        <v>0</v>
      </c>
      <c r="N176" s="203">
        <f>SUM(N159:N175)</f>
        <v>0</v>
      </c>
      <c r="O176" s="203"/>
      <c r="P176" s="203">
        <f>SUM(P159:P175)</f>
        <v>0</v>
      </c>
      <c r="Q176" s="203">
        <f>SUM(Q171:Q175)</f>
        <v>0</v>
      </c>
      <c r="R176" s="203">
        <f>SUM(R159:R175)</f>
        <v>0</v>
      </c>
      <c r="S176" s="203"/>
      <c r="T176" s="203">
        <f>SUM(T159:T175)</f>
        <v>0</v>
      </c>
      <c r="U176" s="203">
        <f>SUM(U171:U175)</f>
        <v>0</v>
      </c>
      <c r="V176" s="203">
        <f>SUM(V159:V175)</f>
        <v>0</v>
      </c>
      <c r="W176" s="203">
        <f>SUM(W159:W175)</f>
        <v>0</v>
      </c>
      <c r="X176" s="203">
        <f t="shared" si="13"/>
        <v>0</v>
      </c>
    </row>
    <row r="177" spans="1:27" s="227" customFormat="1" ht="19.5" thickTop="1" thickBot="1" x14ac:dyDescent="0.45">
      <c r="A177" s="224" t="s">
        <v>262</v>
      </c>
      <c r="B177" s="498"/>
      <c r="C177" s="501"/>
      <c r="D177" s="502">
        <f t="shared" ref="D177:P177" si="14">+D16+D24+D31+D40+D100+D117+D124+D136+D157+D176</f>
        <v>0</v>
      </c>
      <c r="E177" s="226">
        <f t="shared" si="14"/>
        <v>0</v>
      </c>
      <c r="F177" s="226">
        <f t="shared" si="14"/>
        <v>0</v>
      </c>
      <c r="G177" s="226">
        <f t="shared" si="14"/>
        <v>0</v>
      </c>
      <c r="H177" s="226">
        <f t="shared" si="14"/>
        <v>0</v>
      </c>
      <c r="I177" s="226">
        <f t="shared" si="14"/>
        <v>0</v>
      </c>
      <c r="J177" s="226">
        <f t="shared" si="14"/>
        <v>0</v>
      </c>
      <c r="K177" s="226">
        <f t="shared" si="14"/>
        <v>0</v>
      </c>
      <c r="L177" s="226">
        <f t="shared" si="14"/>
        <v>0</v>
      </c>
      <c r="M177" s="226">
        <f t="shared" si="14"/>
        <v>0</v>
      </c>
      <c r="N177" s="226">
        <f t="shared" si="14"/>
        <v>0</v>
      </c>
      <c r="O177" s="226">
        <f t="shared" si="14"/>
        <v>0</v>
      </c>
      <c r="P177" s="226">
        <f t="shared" si="14"/>
        <v>0</v>
      </c>
      <c r="Q177" s="226">
        <f>+Q16+Q24+Q31+Q40+Q100+Q117+Q124+Q136+Q15+Q170+Q176</f>
        <v>0</v>
      </c>
      <c r="R177" s="226">
        <f>+R16+R24+R31+R40+R100+R117+R124+R136+R157+R176</f>
        <v>0</v>
      </c>
      <c r="S177" s="226">
        <f>+S16+S24+S31+S40+S100+S117+S124+S136+S157+S176</f>
        <v>0</v>
      </c>
      <c r="T177" s="226">
        <f>+T16+T24+T31+T40+T100+T117+T124+T136+T157+T176</f>
        <v>0</v>
      </c>
      <c r="U177" s="226">
        <f>+U16+U24+U31+U40+U100+U117+U124+U136+U157+U170+U176</f>
        <v>0</v>
      </c>
      <c r="V177" s="226">
        <f>+V16+V24+V31+V40+V100+V117+V124+V136+V157+V176</f>
        <v>0</v>
      </c>
      <c r="W177" s="226">
        <f>+W16+W24+W31+W40+W100+W117+W124+W136+W157+W176</f>
        <v>0</v>
      </c>
      <c r="X177" s="226">
        <f t="shared" si="13"/>
        <v>0</v>
      </c>
      <c r="Y177" s="240"/>
      <c r="Z177" s="241"/>
      <c r="AA177" s="225"/>
    </row>
    <row r="178" spans="1:27" ht="17.25" thickTop="1" x14ac:dyDescent="0.3">
      <c r="H178" s="205"/>
      <c r="I178" s="205"/>
      <c r="K178" s="206"/>
      <c r="L178" s="206"/>
      <c r="N178" s="205"/>
      <c r="T178" s="205"/>
    </row>
    <row r="179" spans="1:27" ht="17.25" x14ac:dyDescent="0.35">
      <c r="A179" s="414" t="s">
        <v>552</v>
      </c>
      <c r="B179" s="414"/>
      <c r="C179" s="414"/>
      <c r="D179" s="414"/>
      <c r="E179" s="414" t="s">
        <v>559</v>
      </c>
      <c r="F179" s="414"/>
      <c r="G179" s="414"/>
      <c r="H179" s="414"/>
      <c r="I179" s="414"/>
      <c r="J179" s="414"/>
      <c r="K179" s="414" t="s">
        <v>558</v>
      </c>
      <c r="L179" s="414"/>
      <c r="M179" s="414"/>
      <c r="N179" s="205"/>
      <c r="O179" s="205"/>
      <c r="T179" s="205"/>
    </row>
    <row r="180" spans="1:27" ht="16.5" x14ac:dyDescent="0.35">
      <c r="A180" s="467" t="s">
        <v>554</v>
      </c>
      <c r="B180" s="467"/>
      <c r="C180" s="471"/>
      <c r="D180" s="467"/>
      <c r="E180" s="467" t="s">
        <v>557</v>
      </c>
      <c r="F180" s="467"/>
      <c r="G180" s="467"/>
      <c r="H180" s="414"/>
      <c r="I180" s="414"/>
      <c r="J180" s="415"/>
      <c r="K180" s="415" t="s">
        <v>550</v>
      </c>
      <c r="L180" s="415"/>
      <c r="M180" s="415"/>
      <c r="N180" s="414"/>
      <c r="R180" s="414"/>
      <c r="S180" s="414"/>
      <c r="T180" s="414"/>
      <c r="U180" s="414"/>
      <c r="V180" s="414"/>
      <c r="W180" s="414"/>
    </row>
    <row r="181" spans="1:27" ht="16.5" x14ac:dyDescent="0.35">
      <c r="A181" s="942" t="s">
        <v>553</v>
      </c>
      <c r="B181" s="942"/>
      <c r="C181" s="942"/>
      <c r="D181" s="942"/>
      <c r="E181" s="942" t="s">
        <v>555</v>
      </c>
      <c r="F181" s="942"/>
      <c r="G181" s="942"/>
      <c r="H181" s="414"/>
      <c r="I181" s="414"/>
      <c r="J181" s="415"/>
      <c r="K181" s="415" t="s">
        <v>551</v>
      </c>
      <c r="L181" s="415"/>
      <c r="M181" s="415"/>
      <c r="N181" s="414"/>
      <c r="R181" s="415"/>
      <c r="S181" s="414"/>
      <c r="T181" s="414"/>
      <c r="U181" s="414"/>
      <c r="V181" s="414"/>
      <c r="W181" s="414"/>
    </row>
    <row r="182" spans="1:27" ht="16.5" x14ac:dyDescent="0.35">
      <c r="E182" s="942" t="s">
        <v>556</v>
      </c>
      <c r="F182" s="942"/>
      <c r="G182" s="942"/>
      <c r="L182" s="415"/>
      <c r="M182" s="415"/>
      <c r="N182" s="414"/>
      <c r="R182" s="415"/>
      <c r="S182" s="414"/>
      <c r="T182" s="414"/>
      <c r="U182" s="414"/>
      <c r="V182" s="414"/>
      <c r="W182" s="414"/>
    </row>
    <row r="183" spans="1:27" ht="16.5" x14ac:dyDescent="0.3">
      <c r="H183" s="205"/>
      <c r="I183" s="205"/>
      <c r="K183" s="206"/>
      <c r="L183" s="206"/>
      <c r="N183" s="205"/>
      <c r="O183" s="205"/>
      <c r="T183" s="205"/>
    </row>
  </sheetData>
  <mergeCells count="98">
    <mergeCell ref="A181:D181"/>
    <mergeCell ref="E182:G182"/>
    <mergeCell ref="E181:G181"/>
    <mergeCell ref="U142:V142"/>
    <mergeCell ref="E142:F142"/>
    <mergeCell ref="I142:J142"/>
    <mergeCell ref="K142:L142"/>
    <mergeCell ref="N142:O142"/>
    <mergeCell ref="P142:Q142"/>
    <mergeCell ref="R142:T142"/>
    <mergeCell ref="U95:V95"/>
    <mergeCell ref="A137:X137"/>
    <mergeCell ref="A138:X138"/>
    <mergeCell ref="A139:X139"/>
    <mergeCell ref="E140:F140"/>
    <mergeCell ref="G140:H140"/>
    <mergeCell ref="I140:J140"/>
    <mergeCell ref="K140:L140"/>
    <mergeCell ref="N140:O140"/>
    <mergeCell ref="P140:Q140"/>
    <mergeCell ref="E95:F95"/>
    <mergeCell ref="I95:J95"/>
    <mergeCell ref="K95:L95"/>
    <mergeCell ref="N95:O95"/>
    <mergeCell ref="P95:Q95"/>
    <mergeCell ref="R95:T95"/>
    <mergeCell ref="R140:T140"/>
    <mergeCell ref="U140:V140"/>
    <mergeCell ref="E141:F141"/>
    <mergeCell ref="G141:H141"/>
    <mergeCell ref="K141:L141"/>
    <mergeCell ref="N141:O141"/>
    <mergeCell ref="R141:T141"/>
    <mergeCell ref="U141:V141"/>
    <mergeCell ref="U46:V46"/>
    <mergeCell ref="A90:X90"/>
    <mergeCell ref="A91:X91"/>
    <mergeCell ref="A92:X92"/>
    <mergeCell ref="E93:F93"/>
    <mergeCell ref="G93:H93"/>
    <mergeCell ref="I93:J93"/>
    <mergeCell ref="K93:L93"/>
    <mergeCell ref="N93:O93"/>
    <mergeCell ref="P93:Q93"/>
    <mergeCell ref="E46:F46"/>
    <mergeCell ref="I46:J46"/>
    <mergeCell ref="K46:L46"/>
    <mergeCell ref="N46:O46"/>
    <mergeCell ref="P46:Q46"/>
    <mergeCell ref="R46:T46"/>
    <mergeCell ref="R93:T93"/>
    <mergeCell ref="U93:V93"/>
    <mergeCell ref="E94:F94"/>
    <mergeCell ref="G94:H94"/>
    <mergeCell ref="K94:L94"/>
    <mergeCell ref="N94:O94"/>
    <mergeCell ref="R94:T94"/>
    <mergeCell ref="U94:V94"/>
    <mergeCell ref="U6:V6"/>
    <mergeCell ref="A41:X41"/>
    <mergeCell ref="A42:X42"/>
    <mergeCell ref="A43:X43"/>
    <mergeCell ref="E44:F44"/>
    <mergeCell ref="G44:H44"/>
    <mergeCell ref="I44:J44"/>
    <mergeCell ref="K44:L44"/>
    <mergeCell ref="N44:O44"/>
    <mergeCell ref="P44:Q44"/>
    <mergeCell ref="E6:F6"/>
    <mergeCell ref="I6:J6"/>
    <mergeCell ref="K6:L6"/>
    <mergeCell ref="N6:O6"/>
    <mergeCell ref="P6:Q6"/>
    <mergeCell ref="R6:T6"/>
    <mergeCell ref="R44:T44"/>
    <mergeCell ref="U44:V44"/>
    <mergeCell ref="E45:F45"/>
    <mergeCell ref="G45:H45"/>
    <mergeCell ref="K45:L45"/>
    <mergeCell ref="N45:O45"/>
    <mergeCell ref="R45:T45"/>
    <mergeCell ref="U45:V45"/>
    <mergeCell ref="A1:X1"/>
    <mergeCell ref="A2:X2"/>
    <mergeCell ref="A3:X3"/>
    <mergeCell ref="E4:F4"/>
    <mergeCell ref="G4:H4"/>
    <mergeCell ref="I4:J4"/>
    <mergeCell ref="K4:L4"/>
    <mergeCell ref="N4:O4"/>
    <mergeCell ref="P4:Q4"/>
    <mergeCell ref="R4:T4"/>
    <mergeCell ref="U4:V4"/>
    <mergeCell ref="E5:F5"/>
    <mergeCell ref="G5:H5"/>
    <mergeCell ref="K5:L5"/>
    <mergeCell ref="N5:O5"/>
    <mergeCell ref="R5:T5"/>
  </mergeCells>
  <printOptions horizontalCentered="1"/>
  <pageMargins left="0.23622047244094491" right="0.11811023622047245" top="0.23622047244094491" bottom="0.11811023622047245" header="0.15748031496062992" footer="0.11811023622047245"/>
  <pageSetup paperSize="9" scale="67" orientation="landscape" r:id="rId1"/>
  <rowBreaks count="3" manualBreakCount="3">
    <brk id="40" max="16383" man="1"/>
    <brk id="89" max="16383" man="1"/>
    <brk id="1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6"/>
  <sheetViews>
    <sheetView view="pageBreakPreview" topLeftCell="B9" zoomScale="140" zoomScaleNormal="100" zoomScaleSheetLayoutView="140" workbookViewId="0">
      <selection activeCell="E164" sqref="E164"/>
    </sheetView>
  </sheetViews>
  <sheetFormatPr defaultRowHeight="14.25" x14ac:dyDescent="0.2"/>
  <cols>
    <col min="1" max="1" width="34" customWidth="1"/>
    <col min="2" max="2" width="9.25" bestFit="1" customWidth="1"/>
    <col min="3" max="3" width="9.75" bestFit="1" customWidth="1"/>
    <col min="4" max="4" width="11.125" customWidth="1"/>
    <col min="5" max="5" width="10.875" customWidth="1"/>
    <col min="6" max="7" width="9.125" customWidth="1"/>
    <col min="8" max="8" width="9.25" bestFit="1" customWidth="1"/>
    <col min="9" max="9" width="9.75" customWidth="1"/>
    <col min="10" max="10" width="9.375" customWidth="1"/>
    <col min="11" max="11" width="9" customWidth="1"/>
    <col min="12" max="12" width="9.25" bestFit="1" customWidth="1"/>
    <col min="13" max="13" width="9.625" customWidth="1"/>
    <col min="14" max="14" width="10" customWidth="1"/>
    <col min="15" max="15" width="10.875" customWidth="1"/>
    <col min="16" max="16" width="10.125" customWidth="1"/>
    <col min="17" max="18" width="9.125" customWidth="1"/>
    <col min="19" max="19" width="8.875" customWidth="1"/>
    <col min="20" max="21" width="9" customWidth="1"/>
    <col min="22" max="23" width="9.375" customWidth="1"/>
  </cols>
  <sheetData>
    <row r="1" spans="1:23" s="100" customFormat="1" ht="23.25" x14ac:dyDescent="0.5">
      <c r="A1" s="904" t="s">
        <v>76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904"/>
      <c r="W1" s="904"/>
    </row>
    <row r="2" spans="1:23" s="100" customFormat="1" ht="23.25" x14ac:dyDescent="0.5">
      <c r="A2" s="904" t="s">
        <v>109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</row>
    <row r="3" spans="1:23" s="100" customFormat="1" ht="23.25" x14ac:dyDescent="0.5">
      <c r="A3" s="904" t="s">
        <v>454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</row>
    <row r="4" spans="1:23" s="232" customFormat="1" ht="18" x14ac:dyDescent="0.4">
      <c r="A4" s="228"/>
      <c r="B4" s="229"/>
      <c r="C4" s="230" t="s">
        <v>41</v>
      </c>
      <c r="D4" s="905" t="s">
        <v>110</v>
      </c>
      <c r="E4" s="906"/>
      <c r="F4" s="907" t="s">
        <v>111</v>
      </c>
      <c r="G4" s="908"/>
      <c r="H4" s="909" t="s">
        <v>112</v>
      </c>
      <c r="I4" s="910"/>
      <c r="J4" s="911" t="s">
        <v>113</v>
      </c>
      <c r="K4" s="912"/>
      <c r="L4" s="216" t="s">
        <v>113</v>
      </c>
      <c r="M4" s="907" t="s">
        <v>113</v>
      </c>
      <c r="N4" s="910"/>
      <c r="O4" s="909" t="s">
        <v>114</v>
      </c>
      <c r="P4" s="905"/>
      <c r="Q4" s="909" t="s">
        <v>115</v>
      </c>
      <c r="R4" s="905"/>
      <c r="S4" s="906"/>
      <c r="T4" s="909" t="s">
        <v>116</v>
      </c>
      <c r="U4" s="910"/>
      <c r="V4" s="216" t="s">
        <v>113</v>
      </c>
      <c r="W4" s="231"/>
    </row>
    <row r="5" spans="1:23" s="232" customFormat="1" ht="18" x14ac:dyDescent="0.4">
      <c r="A5" s="233"/>
      <c r="B5" s="217"/>
      <c r="C5" s="234"/>
      <c r="D5" s="896"/>
      <c r="E5" s="897"/>
      <c r="F5" s="898" t="s">
        <v>117</v>
      </c>
      <c r="G5" s="899"/>
      <c r="H5" s="248"/>
      <c r="I5" s="218"/>
      <c r="J5" s="900" t="s">
        <v>118</v>
      </c>
      <c r="K5" s="901"/>
      <c r="L5" s="219" t="s">
        <v>119</v>
      </c>
      <c r="M5" s="898" t="s">
        <v>120</v>
      </c>
      <c r="N5" s="902"/>
      <c r="O5" s="220"/>
      <c r="P5" s="221"/>
      <c r="Q5" s="900" t="s">
        <v>121</v>
      </c>
      <c r="R5" s="903"/>
      <c r="S5" s="901"/>
      <c r="T5" s="220" t="s">
        <v>13</v>
      </c>
      <c r="U5" s="218"/>
      <c r="V5" s="249" t="s">
        <v>122</v>
      </c>
      <c r="W5" s="235"/>
    </row>
    <row r="6" spans="1:23" s="232" customFormat="1" ht="18" x14ac:dyDescent="0.4">
      <c r="A6" s="233" t="s">
        <v>123</v>
      </c>
      <c r="B6" s="217"/>
      <c r="C6" s="223" t="s">
        <v>124</v>
      </c>
      <c r="D6" s="896" t="s">
        <v>125</v>
      </c>
      <c r="E6" s="897"/>
      <c r="F6" s="222"/>
      <c r="G6" s="250" t="s">
        <v>126</v>
      </c>
      <c r="H6" s="925" t="s">
        <v>127</v>
      </c>
      <c r="I6" s="926"/>
      <c r="J6" s="931" t="s">
        <v>128</v>
      </c>
      <c r="K6" s="932"/>
      <c r="L6" s="223"/>
      <c r="M6" s="933" t="s">
        <v>129</v>
      </c>
      <c r="N6" s="926"/>
      <c r="O6" s="925" t="s">
        <v>130</v>
      </c>
      <c r="P6" s="934"/>
      <c r="Q6" s="925" t="s">
        <v>131</v>
      </c>
      <c r="R6" s="934"/>
      <c r="S6" s="935"/>
      <c r="T6" s="925" t="s">
        <v>132</v>
      </c>
      <c r="U6" s="926"/>
      <c r="V6" s="223" t="s">
        <v>133</v>
      </c>
      <c r="W6" s="235"/>
    </row>
    <row r="7" spans="1:23" ht="18" x14ac:dyDescent="0.4">
      <c r="A7" s="111"/>
      <c r="B7" s="112"/>
      <c r="C7" s="103" t="s">
        <v>134</v>
      </c>
      <c r="D7" s="103" t="s">
        <v>135</v>
      </c>
      <c r="E7" s="103" t="s">
        <v>135</v>
      </c>
      <c r="F7" s="245" t="s">
        <v>136</v>
      </c>
      <c r="G7" s="245" t="s">
        <v>137</v>
      </c>
      <c r="H7" s="174" t="s">
        <v>138</v>
      </c>
      <c r="I7" s="103" t="s">
        <v>139</v>
      </c>
      <c r="J7" s="103" t="s">
        <v>140</v>
      </c>
      <c r="K7" s="103" t="s">
        <v>141</v>
      </c>
      <c r="L7" s="103" t="s">
        <v>142</v>
      </c>
      <c r="M7" s="174" t="s">
        <v>138</v>
      </c>
      <c r="N7" s="174" t="s">
        <v>442</v>
      </c>
      <c r="O7" s="103" t="s">
        <v>138</v>
      </c>
      <c r="P7" s="103" t="s">
        <v>144</v>
      </c>
      <c r="Q7" s="103" t="s">
        <v>145</v>
      </c>
      <c r="R7" s="113" t="s">
        <v>146</v>
      </c>
      <c r="S7" s="175" t="s">
        <v>147</v>
      </c>
      <c r="T7" s="114" t="s">
        <v>148</v>
      </c>
      <c r="U7" s="103" t="s">
        <v>149</v>
      </c>
      <c r="V7" s="103" t="s">
        <v>150</v>
      </c>
      <c r="W7" s="253" t="s">
        <v>151</v>
      </c>
    </row>
    <row r="8" spans="1:23" ht="18" x14ac:dyDescent="0.4">
      <c r="A8" s="105"/>
      <c r="B8" s="106"/>
      <c r="C8" s="113"/>
      <c r="D8" s="113" t="s">
        <v>152</v>
      </c>
      <c r="E8" s="113" t="s">
        <v>153</v>
      </c>
      <c r="F8" s="246" t="s">
        <v>154</v>
      </c>
      <c r="G8" s="246" t="s">
        <v>155</v>
      </c>
      <c r="H8" s="176" t="s">
        <v>156</v>
      </c>
      <c r="I8" s="113" t="s">
        <v>157</v>
      </c>
      <c r="J8" s="113" t="s">
        <v>158</v>
      </c>
      <c r="K8" s="113" t="s">
        <v>159</v>
      </c>
      <c r="L8" s="113" t="s">
        <v>160</v>
      </c>
      <c r="M8" s="176" t="s">
        <v>161</v>
      </c>
      <c r="N8" s="176" t="s">
        <v>443</v>
      </c>
      <c r="O8" s="113" t="s">
        <v>163</v>
      </c>
      <c r="P8" s="113" t="s">
        <v>164</v>
      </c>
      <c r="Q8" s="113" t="s">
        <v>165</v>
      </c>
      <c r="R8" s="113" t="s">
        <v>166</v>
      </c>
      <c r="S8" s="175" t="s">
        <v>167</v>
      </c>
      <c r="T8" s="114" t="s">
        <v>168</v>
      </c>
      <c r="U8" s="113" t="s">
        <v>169</v>
      </c>
      <c r="V8" s="113" t="s">
        <v>170</v>
      </c>
      <c r="W8" s="109"/>
    </row>
    <row r="9" spans="1:23" ht="18" x14ac:dyDescent="0.4">
      <c r="A9" s="115"/>
      <c r="B9" s="116"/>
      <c r="C9" s="110" t="s">
        <v>171</v>
      </c>
      <c r="D9" s="110" t="s">
        <v>172</v>
      </c>
      <c r="E9" s="110" t="s">
        <v>173</v>
      </c>
      <c r="F9" s="247" t="s">
        <v>174</v>
      </c>
      <c r="G9" s="247"/>
      <c r="H9" s="177" t="s">
        <v>175</v>
      </c>
      <c r="I9" s="110" t="s">
        <v>176</v>
      </c>
      <c r="J9" s="110"/>
      <c r="K9" s="117" t="s">
        <v>177</v>
      </c>
      <c r="L9" s="110" t="s">
        <v>178</v>
      </c>
      <c r="M9" s="177" t="s">
        <v>179</v>
      </c>
      <c r="N9" s="177" t="s">
        <v>444</v>
      </c>
      <c r="O9" s="110" t="s">
        <v>180</v>
      </c>
      <c r="P9" s="110" t="s">
        <v>181</v>
      </c>
      <c r="Q9" s="110" t="s">
        <v>182</v>
      </c>
      <c r="R9" s="117" t="s">
        <v>183</v>
      </c>
      <c r="S9" s="177" t="s">
        <v>184</v>
      </c>
      <c r="T9" s="110" t="s">
        <v>185</v>
      </c>
      <c r="U9" s="110" t="s">
        <v>186</v>
      </c>
      <c r="V9" s="110" t="s">
        <v>187</v>
      </c>
      <c r="W9" s="118"/>
    </row>
    <row r="10" spans="1:23" s="125" customFormat="1" ht="21" x14ac:dyDescent="0.45">
      <c r="A10" s="119" t="s">
        <v>188</v>
      </c>
      <c r="B10" s="120"/>
      <c r="C10" s="121"/>
      <c r="D10" s="121"/>
      <c r="E10" s="121"/>
      <c r="F10" s="121"/>
      <c r="G10" s="122"/>
      <c r="H10" s="122"/>
      <c r="I10" s="121"/>
      <c r="J10" s="121"/>
      <c r="K10" s="121"/>
      <c r="L10" s="121"/>
      <c r="M10" s="122"/>
      <c r="N10" s="122"/>
      <c r="O10" s="121"/>
      <c r="P10" s="121"/>
      <c r="Q10" s="121"/>
      <c r="R10" s="121"/>
      <c r="S10" s="122"/>
      <c r="T10" s="123"/>
      <c r="U10" s="123"/>
      <c r="V10" s="123"/>
      <c r="W10" s="124"/>
    </row>
    <row r="11" spans="1:23" s="125" customFormat="1" ht="21" x14ac:dyDescent="0.45">
      <c r="A11" s="126" t="s">
        <v>325</v>
      </c>
      <c r="B11" s="127">
        <v>110300</v>
      </c>
      <c r="C11" s="128"/>
      <c r="D11" s="129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/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f t="shared" ref="W11:W16" si="0">SUM(C11:V11)</f>
        <v>0</v>
      </c>
    </row>
    <row r="12" spans="1:23" s="125" customFormat="1" ht="21" x14ac:dyDescent="0.45">
      <c r="A12" s="126" t="s">
        <v>326</v>
      </c>
      <c r="B12" s="127">
        <v>110900</v>
      </c>
      <c r="C12" s="129"/>
      <c r="D12" s="129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/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f t="shared" si="0"/>
        <v>0</v>
      </c>
    </row>
    <row r="13" spans="1:23" s="125" customFormat="1" ht="21" x14ac:dyDescent="0.45">
      <c r="A13" s="126" t="s">
        <v>327</v>
      </c>
      <c r="B13" s="127">
        <v>111000</v>
      </c>
      <c r="C13" s="129"/>
      <c r="D13" s="129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/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f t="shared" si="0"/>
        <v>0</v>
      </c>
    </row>
    <row r="14" spans="1:23" s="125" customFormat="1" ht="21" x14ac:dyDescent="0.45">
      <c r="A14" s="126" t="s">
        <v>328</v>
      </c>
      <c r="B14" s="127">
        <v>111100</v>
      </c>
      <c r="C14" s="129"/>
      <c r="D14" s="129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/>
      <c r="K14" s="130"/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f t="shared" si="0"/>
        <v>0</v>
      </c>
    </row>
    <row r="15" spans="1:23" s="125" customFormat="1" ht="21" x14ac:dyDescent="0.45">
      <c r="A15" s="131" t="s">
        <v>329</v>
      </c>
      <c r="B15" s="132">
        <v>111100</v>
      </c>
      <c r="C15" s="130"/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/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0"/>
        <v>0</v>
      </c>
    </row>
    <row r="16" spans="1:23" s="136" customFormat="1" ht="18" x14ac:dyDescent="0.4">
      <c r="A16" s="133" t="s">
        <v>189</v>
      </c>
      <c r="B16" s="134"/>
      <c r="C16" s="135">
        <f>SUM(C11:C15)</f>
        <v>0</v>
      </c>
      <c r="D16" s="135">
        <f>SUM(D11:D15)</f>
        <v>0</v>
      </c>
      <c r="E16" s="135">
        <f>SUM(E11:E15)</f>
        <v>0</v>
      </c>
      <c r="F16" s="135"/>
      <c r="G16" s="135">
        <f>SUM(G11:G15)</f>
        <v>0</v>
      </c>
      <c r="H16" s="135">
        <f>SUM(H11:H15)</f>
        <v>0</v>
      </c>
      <c r="I16" s="135">
        <f>SUM(I11:I15)</f>
        <v>0</v>
      </c>
      <c r="J16" s="135">
        <f>SUM(J11:J15)</f>
        <v>0</v>
      </c>
      <c r="K16" s="135"/>
      <c r="L16" s="135">
        <f>SUM(L11:L15)</f>
        <v>0</v>
      </c>
      <c r="M16" s="135">
        <f>SUM(M11:M15)</f>
        <v>0</v>
      </c>
      <c r="N16" s="135"/>
      <c r="O16" s="135">
        <f>SUM(O11:O15)</f>
        <v>0</v>
      </c>
      <c r="P16" s="135">
        <f>SUM(P11:P15)</f>
        <v>0</v>
      </c>
      <c r="Q16" s="135">
        <f>SUM(Q11:Q15)</f>
        <v>0</v>
      </c>
      <c r="R16" s="135"/>
      <c r="S16" s="135">
        <f>SUM(S11:S15)</f>
        <v>0</v>
      </c>
      <c r="T16" s="135">
        <f>SUM(T11:T15)</f>
        <v>0</v>
      </c>
      <c r="U16" s="135">
        <f>SUM(U11:U15)</f>
        <v>0</v>
      </c>
      <c r="V16" s="135">
        <f>SUM(V11:V15)</f>
        <v>0</v>
      </c>
      <c r="W16" s="135">
        <f t="shared" si="0"/>
        <v>0</v>
      </c>
    </row>
    <row r="17" spans="1:23" s="125" customFormat="1" ht="21" x14ac:dyDescent="0.45">
      <c r="A17" s="137" t="s">
        <v>190</v>
      </c>
      <c r="B17" s="138"/>
      <c r="C17" s="123"/>
      <c r="D17" s="123"/>
      <c r="E17" s="123"/>
      <c r="F17" s="123"/>
      <c r="G17" s="139"/>
      <c r="H17" s="139"/>
      <c r="I17" s="123"/>
      <c r="J17" s="123"/>
      <c r="K17" s="123"/>
      <c r="L17" s="123"/>
      <c r="M17" s="139"/>
      <c r="N17" s="139"/>
      <c r="O17" s="123"/>
      <c r="P17" s="123"/>
      <c r="Q17" s="123"/>
      <c r="R17" s="123"/>
      <c r="S17" s="139"/>
      <c r="T17" s="123"/>
      <c r="U17" s="123"/>
      <c r="V17" s="123"/>
      <c r="W17" s="123"/>
    </row>
    <row r="18" spans="1:23" s="125" customFormat="1" ht="21" x14ac:dyDescent="0.45">
      <c r="A18" s="131" t="s">
        <v>191</v>
      </c>
      <c r="B18" s="132">
        <v>210100</v>
      </c>
      <c r="C18" s="130"/>
      <c r="D18" s="130"/>
      <c r="E18" s="130">
        <v>0</v>
      </c>
      <c r="F18" s="130"/>
      <c r="G18" s="130">
        <v>0</v>
      </c>
      <c r="H18" s="130">
        <v>0</v>
      </c>
      <c r="I18" s="130">
        <v>0</v>
      </c>
      <c r="J18" s="130">
        <v>0</v>
      </c>
      <c r="K18" s="130"/>
      <c r="L18" s="130">
        <v>0</v>
      </c>
      <c r="M18" s="130">
        <v>0</v>
      </c>
      <c r="N18" s="130"/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>SUM(C18:V18)</f>
        <v>0</v>
      </c>
    </row>
    <row r="19" spans="1:23" s="125" customFormat="1" ht="21" x14ac:dyDescent="0.45">
      <c r="A19" s="131" t="s">
        <v>192</v>
      </c>
      <c r="B19" s="132">
        <v>210200</v>
      </c>
      <c r="C19" s="130"/>
      <c r="D19" s="130"/>
      <c r="E19" s="130">
        <v>0</v>
      </c>
      <c r="F19" s="130"/>
      <c r="G19" s="130">
        <v>0</v>
      </c>
      <c r="H19" s="130">
        <v>0</v>
      </c>
      <c r="I19" s="130">
        <v>0</v>
      </c>
      <c r="J19" s="130">
        <v>0</v>
      </c>
      <c r="K19" s="130"/>
      <c r="L19" s="130">
        <v>0</v>
      </c>
      <c r="M19" s="130">
        <v>0</v>
      </c>
      <c r="N19" s="130"/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>SUM(C19:V19)</f>
        <v>0</v>
      </c>
    </row>
    <row r="20" spans="1:23" s="140" customFormat="1" ht="21" x14ac:dyDescent="0.45">
      <c r="A20" s="131" t="s">
        <v>193</v>
      </c>
      <c r="B20" s="132">
        <v>210300</v>
      </c>
      <c r="C20" s="130"/>
      <c r="D20" s="130"/>
      <c r="E20" s="130">
        <v>0</v>
      </c>
      <c r="F20" s="130"/>
      <c r="G20" s="130">
        <v>0</v>
      </c>
      <c r="H20" s="130">
        <v>0</v>
      </c>
      <c r="I20" s="130">
        <v>0</v>
      </c>
      <c r="J20" s="130">
        <v>0</v>
      </c>
      <c r="K20" s="130"/>
      <c r="L20" s="130">
        <v>0</v>
      </c>
      <c r="M20" s="130">
        <v>0</v>
      </c>
      <c r="N20" s="130"/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>SUM(C20:V20)</f>
        <v>0</v>
      </c>
    </row>
    <row r="21" spans="1:23" s="125" customFormat="1" ht="21" x14ac:dyDescent="0.45">
      <c r="A21" s="141" t="s">
        <v>194</v>
      </c>
      <c r="B21" s="142">
        <v>210400</v>
      </c>
      <c r="C21" s="123"/>
      <c r="D21" s="123"/>
      <c r="E21" s="123"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/>
      <c r="L21" s="123">
        <v>0</v>
      </c>
      <c r="M21" s="123">
        <v>0</v>
      </c>
      <c r="N21" s="123"/>
      <c r="O21" s="123">
        <v>0</v>
      </c>
      <c r="P21" s="123">
        <v>0</v>
      </c>
      <c r="Q21" s="123">
        <v>0</v>
      </c>
      <c r="R21" s="130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f>SUM(C21:V21)</f>
        <v>0</v>
      </c>
    </row>
    <row r="22" spans="1:23" s="100" customFormat="1" ht="23.25" x14ac:dyDescent="0.5">
      <c r="A22" s="141" t="s">
        <v>195</v>
      </c>
      <c r="B22" s="120">
        <v>210600</v>
      </c>
      <c r="C22" s="123"/>
      <c r="D22" s="123"/>
      <c r="E22" s="123">
        <v>0</v>
      </c>
      <c r="F22" s="123"/>
      <c r="G22" s="123">
        <v>0</v>
      </c>
      <c r="H22" s="123">
        <v>0</v>
      </c>
      <c r="I22" s="123">
        <v>0</v>
      </c>
      <c r="J22" s="123">
        <v>0</v>
      </c>
      <c r="K22" s="123"/>
      <c r="L22" s="123">
        <v>0</v>
      </c>
      <c r="M22" s="123">
        <v>0</v>
      </c>
      <c r="N22" s="123"/>
      <c r="O22" s="123">
        <v>0</v>
      </c>
      <c r="P22" s="123">
        <v>0</v>
      </c>
      <c r="Q22" s="123">
        <v>0</v>
      </c>
      <c r="R22" s="130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f>SUM(C22:V22)</f>
        <v>0</v>
      </c>
    </row>
    <row r="23" spans="1:23" s="100" customFormat="1" ht="23.25" x14ac:dyDescent="0.5">
      <c r="A23" s="141"/>
      <c r="B23" s="120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30">
        <v>0</v>
      </c>
      <c r="S23" s="123"/>
      <c r="T23" s="123"/>
      <c r="U23" s="123"/>
      <c r="V23" s="123"/>
      <c r="W23" s="123"/>
    </row>
    <row r="24" spans="1:23" s="136" customFormat="1" ht="18" x14ac:dyDescent="0.4">
      <c r="A24" s="133" t="s">
        <v>189</v>
      </c>
      <c r="B24" s="134"/>
      <c r="C24" s="135">
        <f>SUM(C18:C23)</f>
        <v>0</v>
      </c>
      <c r="D24" s="135">
        <f>SUM(D18:D23)</f>
        <v>0</v>
      </c>
      <c r="E24" s="135">
        <f>SUM(E16:E23)</f>
        <v>0</v>
      </c>
      <c r="F24" s="135"/>
      <c r="G24" s="135">
        <f>SUM(G16:G23)</f>
        <v>0</v>
      </c>
      <c r="H24" s="135">
        <f>SUM(H16:H23)</f>
        <v>0</v>
      </c>
      <c r="I24" s="135">
        <f>SUM(I16:I23)</f>
        <v>0</v>
      </c>
      <c r="J24" s="135">
        <f>SUM(J16:J23)</f>
        <v>0</v>
      </c>
      <c r="K24" s="135"/>
      <c r="L24" s="135">
        <f>SUM(L16:L23)</f>
        <v>0</v>
      </c>
      <c r="M24" s="135">
        <f>SUM(M16:M23)</f>
        <v>0</v>
      </c>
      <c r="N24" s="135"/>
      <c r="O24" s="135">
        <f t="shared" ref="O24:V24" si="1">SUM(O16:O23)</f>
        <v>0</v>
      </c>
      <c r="P24" s="135">
        <f t="shared" si="1"/>
        <v>0</v>
      </c>
      <c r="Q24" s="135">
        <f t="shared" si="1"/>
        <v>0</v>
      </c>
      <c r="R24" s="135">
        <f t="shared" si="1"/>
        <v>0</v>
      </c>
      <c r="S24" s="135">
        <f t="shared" si="1"/>
        <v>0</v>
      </c>
      <c r="T24" s="135">
        <f t="shared" si="1"/>
        <v>0</v>
      </c>
      <c r="U24" s="135">
        <f t="shared" si="1"/>
        <v>0</v>
      </c>
      <c r="V24" s="135">
        <f t="shared" si="1"/>
        <v>0</v>
      </c>
      <c r="W24" s="135">
        <f>SUM(C24:V24)</f>
        <v>0</v>
      </c>
    </row>
    <row r="25" spans="1:23" s="100" customFormat="1" ht="23.25" x14ac:dyDescent="0.5">
      <c r="A25" s="119" t="s">
        <v>48</v>
      </c>
      <c r="B25" s="132"/>
      <c r="C25" s="130"/>
      <c r="D25" s="130"/>
      <c r="E25" s="130"/>
      <c r="F25" s="130"/>
      <c r="G25" s="143"/>
      <c r="H25" s="143"/>
      <c r="I25" s="130"/>
      <c r="J25" s="130"/>
      <c r="K25" s="130"/>
      <c r="L25" s="130"/>
      <c r="M25" s="143"/>
      <c r="N25" s="143"/>
      <c r="O25" s="130"/>
      <c r="P25" s="130"/>
      <c r="Q25" s="130"/>
      <c r="R25" s="130">
        <v>0</v>
      </c>
      <c r="S25" s="143"/>
      <c r="T25" s="130"/>
      <c r="U25" s="130"/>
      <c r="V25" s="130"/>
      <c r="W25" s="130"/>
    </row>
    <row r="26" spans="1:23" s="100" customFormat="1" ht="23.25" x14ac:dyDescent="0.5">
      <c r="A26" s="144" t="s">
        <v>196</v>
      </c>
      <c r="B26" s="145">
        <v>220100</v>
      </c>
      <c r="C26" s="130"/>
      <c r="D26" s="130"/>
      <c r="E26" s="130"/>
      <c r="F26" s="130"/>
      <c r="G26" s="130">
        <v>0</v>
      </c>
      <c r="H26" s="130">
        <v>0</v>
      </c>
      <c r="I26" s="130">
        <v>0</v>
      </c>
      <c r="J26" s="130">
        <v>0</v>
      </c>
      <c r="K26" s="130"/>
      <c r="L26" s="130">
        <v>0</v>
      </c>
      <c r="M26" s="130">
        <v>0</v>
      </c>
      <c r="N26" s="130"/>
      <c r="O26" s="130">
        <v>433340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/>
    </row>
    <row r="27" spans="1:23" s="100" customFormat="1" ht="23.25" x14ac:dyDescent="0.5">
      <c r="A27" s="131" t="s">
        <v>197</v>
      </c>
      <c r="B27" s="132">
        <v>220200</v>
      </c>
      <c r="C27" s="130"/>
      <c r="D27" s="130"/>
      <c r="E27" s="130"/>
      <c r="F27" s="123"/>
      <c r="G27" s="123">
        <v>0</v>
      </c>
      <c r="H27" s="123">
        <v>0</v>
      </c>
      <c r="I27" s="123">
        <v>0</v>
      </c>
      <c r="J27" s="123">
        <v>0</v>
      </c>
      <c r="K27" s="123"/>
      <c r="L27" s="123">
        <v>0</v>
      </c>
      <c r="M27" s="123">
        <v>0</v>
      </c>
      <c r="N27" s="123"/>
      <c r="O27" s="130">
        <v>26905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30"/>
    </row>
    <row r="28" spans="1:23" s="100" customFormat="1" ht="23.25" x14ac:dyDescent="0.5">
      <c r="A28" s="131" t="s">
        <v>198</v>
      </c>
      <c r="B28" s="132">
        <v>220300</v>
      </c>
      <c r="C28" s="130"/>
      <c r="D28" s="130"/>
      <c r="E28" s="130"/>
      <c r="F28" s="123"/>
      <c r="G28" s="123">
        <v>0</v>
      </c>
      <c r="H28" s="123">
        <v>0</v>
      </c>
      <c r="I28" s="123">
        <v>0</v>
      </c>
      <c r="J28" s="123">
        <v>0</v>
      </c>
      <c r="K28" s="123"/>
      <c r="L28" s="123">
        <v>0</v>
      </c>
      <c r="M28" s="123">
        <v>0</v>
      </c>
      <c r="N28" s="123"/>
      <c r="O28" s="130">
        <v>38500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30"/>
    </row>
    <row r="29" spans="1:23" s="100" customFormat="1" ht="23.25" x14ac:dyDescent="0.5">
      <c r="A29" s="146" t="s">
        <v>199</v>
      </c>
      <c r="B29" s="132">
        <v>220600</v>
      </c>
      <c r="C29" s="130"/>
      <c r="D29" s="130"/>
      <c r="E29" s="147"/>
      <c r="F29" s="147"/>
      <c r="G29" s="130">
        <v>0</v>
      </c>
      <c r="H29" s="123"/>
      <c r="I29" s="143"/>
      <c r="J29" s="130">
        <v>0</v>
      </c>
      <c r="K29" s="130"/>
      <c r="L29" s="130">
        <v>0</v>
      </c>
      <c r="M29" s="130">
        <v>0</v>
      </c>
      <c r="N29" s="130"/>
      <c r="O29" s="130">
        <v>239610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/>
    </row>
    <row r="30" spans="1:23" s="100" customFormat="1" ht="23.25" x14ac:dyDescent="0.5">
      <c r="A30" s="146" t="s">
        <v>200</v>
      </c>
      <c r="B30" s="148">
        <v>220700</v>
      </c>
      <c r="C30" s="149"/>
      <c r="D30" s="149"/>
      <c r="E30" s="149"/>
      <c r="F30" s="124"/>
      <c r="G30" s="123">
        <v>0</v>
      </c>
      <c r="H30" s="123"/>
      <c r="I30" s="150"/>
      <c r="J30" s="123">
        <v>0</v>
      </c>
      <c r="K30" s="123"/>
      <c r="L30" s="123">
        <v>0</v>
      </c>
      <c r="M30" s="123">
        <v>0</v>
      </c>
      <c r="N30" s="124"/>
      <c r="O30" s="149">
        <v>63390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30"/>
    </row>
    <row r="31" spans="1:23" s="136" customFormat="1" ht="18" x14ac:dyDescent="0.4">
      <c r="A31" s="133" t="s">
        <v>189</v>
      </c>
      <c r="B31" s="134"/>
      <c r="C31" s="135">
        <f t="shared" ref="C31:M31" si="2">SUM(C18:C30)</f>
        <v>0</v>
      </c>
      <c r="D31" s="135">
        <f>SUM(D26:D30)</f>
        <v>0</v>
      </c>
      <c r="E31" s="135">
        <f>SUM(E26:E30)</f>
        <v>0</v>
      </c>
      <c r="F31" s="135"/>
      <c r="G31" s="135">
        <f t="shared" si="2"/>
        <v>0</v>
      </c>
      <c r="H31" s="135">
        <f>SUM(H26:H30)</f>
        <v>0</v>
      </c>
      <c r="I31" s="135">
        <f>SUM(I18:I30)</f>
        <v>0</v>
      </c>
      <c r="J31" s="135">
        <f t="shared" si="2"/>
        <v>0</v>
      </c>
      <c r="K31" s="135"/>
      <c r="L31" s="135">
        <f t="shared" si="2"/>
        <v>0</v>
      </c>
      <c r="M31" s="135">
        <f t="shared" si="2"/>
        <v>0</v>
      </c>
      <c r="N31" s="135"/>
      <c r="O31" s="135">
        <f>SUM(O26:O30)</f>
        <v>801745</v>
      </c>
      <c r="P31" s="135">
        <f>SUM(P18:P30)</f>
        <v>0</v>
      </c>
      <c r="Q31" s="135">
        <f>SUM(Q18:Q30)</f>
        <v>0</v>
      </c>
      <c r="R31" s="135">
        <f>SUM(R18:R30)</f>
        <v>0</v>
      </c>
      <c r="S31" s="135">
        <f>SUM(S18:S30)</f>
        <v>0</v>
      </c>
      <c r="T31" s="135">
        <f>SUM(T21:T30)</f>
        <v>0</v>
      </c>
      <c r="U31" s="135">
        <f>SUM(U21:U30)</f>
        <v>0</v>
      </c>
      <c r="V31" s="135">
        <f>SUM(V18:V30)</f>
        <v>0</v>
      </c>
      <c r="W31" s="135">
        <f t="shared" ref="W31" si="3">SUM(C31:V31)</f>
        <v>801745</v>
      </c>
    </row>
    <row r="32" spans="1:23" s="100" customFormat="1" ht="23.25" x14ac:dyDescent="0.5">
      <c r="A32" s="137" t="s">
        <v>49</v>
      </c>
      <c r="B32" s="138"/>
      <c r="C32" s="123"/>
      <c r="D32" s="123"/>
      <c r="E32" s="123"/>
      <c r="F32" s="123"/>
      <c r="G32" s="139"/>
      <c r="H32" s="139"/>
      <c r="I32" s="123"/>
      <c r="J32" s="123"/>
      <c r="K32" s="123"/>
      <c r="L32" s="123"/>
      <c r="M32" s="139"/>
      <c r="N32" s="139"/>
      <c r="O32" s="123"/>
      <c r="P32" s="123"/>
      <c r="Q32" s="123"/>
      <c r="R32" s="123"/>
      <c r="S32" s="139"/>
      <c r="T32" s="123"/>
      <c r="U32" s="123"/>
      <c r="V32" s="123"/>
      <c r="W32" s="130"/>
    </row>
    <row r="33" spans="1:24" s="136" customFormat="1" ht="18" x14ac:dyDescent="0.4">
      <c r="A33" s="131" t="s">
        <v>331</v>
      </c>
      <c r="B33" s="132">
        <v>310100</v>
      </c>
      <c r="C33" s="130">
        <v>0</v>
      </c>
      <c r="D33" s="130"/>
      <c r="E33" s="130"/>
      <c r="F33" s="130"/>
      <c r="G33" s="130"/>
      <c r="H33" s="130">
        <v>0</v>
      </c>
      <c r="I33" s="130">
        <v>0</v>
      </c>
      <c r="J33" s="130">
        <v>0</v>
      </c>
      <c r="K33" s="130"/>
      <c r="L33" s="130">
        <v>0</v>
      </c>
      <c r="M33" s="130">
        <v>0</v>
      </c>
      <c r="N33" s="130"/>
      <c r="O33" s="130">
        <v>190000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49"/>
    </row>
    <row r="34" spans="1:24" s="136" customFormat="1" ht="18" x14ac:dyDescent="0.4">
      <c r="A34" s="131" t="s">
        <v>211</v>
      </c>
      <c r="B34" s="132">
        <v>310300</v>
      </c>
      <c r="C34" s="130">
        <v>0</v>
      </c>
      <c r="D34" s="130"/>
      <c r="E34" s="130"/>
      <c r="F34" s="123"/>
      <c r="G34" s="123">
        <v>0</v>
      </c>
      <c r="H34" s="123">
        <v>0</v>
      </c>
      <c r="I34" s="123">
        <v>0</v>
      </c>
      <c r="J34" s="123">
        <v>0</v>
      </c>
      <c r="K34" s="123"/>
      <c r="L34" s="123">
        <v>0</v>
      </c>
      <c r="M34" s="123">
        <v>0</v>
      </c>
      <c r="N34" s="123"/>
      <c r="O34" s="130">
        <v>5000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53"/>
    </row>
    <row r="35" spans="1:24" s="100" customFormat="1" ht="23.25" x14ac:dyDescent="0.5">
      <c r="A35" s="131" t="s">
        <v>212</v>
      </c>
      <c r="B35" s="132">
        <v>310400</v>
      </c>
      <c r="C35" s="130">
        <v>0</v>
      </c>
      <c r="D35" s="130"/>
      <c r="E35" s="130"/>
      <c r="F35" s="123"/>
      <c r="G35" s="123">
        <v>0</v>
      </c>
      <c r="H35" s="123">
        <v>0</v>
      </c>
      <c r="I35" s="123">
        <v>0</v>
      </c>
      <c r="J35" s="123">
        <v>0</v>
      </c>
      <c r="K35" s="123"/>
      <c r="L35" s="123">
        <v>0</v>
      </c>
      <c r="M35" s="123">
        <v>0</v>
      </c>
      <c r="N35" s="123"/>
      <c r="O35" s="130">
        <v>15000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53"/>
    </row>
    <row r="36" spans="1:24" s="100" customFormat="1" ht="23.25" x14ac:dyDescent="0.5">
      <c r="A36" s="146" t="s">
        <v>213</v>
      </c>
      <c r="B36" s="154">
        <v>310500</v>
      </c>
      <c r="C36" s="149"/>
      <c r="D36" s="149"/>
      <c r="E36" s="149"/>
      <c r="F36" s="149"/>
      <c r="G36" s="130">
        <v>0</v>
      </c>
      <c r="H36" s="130">
        <v>0</v>
      </c>
      <c r="I36" s="130">
        <v>0</v>
      </c>
      <c r="J36" s="130">
        <v>0</v>
      </c>
      <c r="K36" s="130"/>
      <c r="L36" s="130">
        <v>0</v>
      </c>
      <c r="M36" s="130">
        <v>0</v>
      </c>
      <c r="N36" s="149"/>
      <c r="O36" s="149">
        <v>20000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53"/>
    </row>
    <row r="37" spans="1:24" s="100" customFormat="1" ht="23.25" x14ac:dyDescent="0.5">
      <c r="A37" s="146" t="s">
        <v>214</v>
      </c>
      <c r="B37" s="154">
        <v>310100</v>
      </c>
      <c r="C37" s="149"/>
      <c r="D37" s="149"/>
      <c r="E37" s="149"/>
      <c r="F37" s="149"/>
      <c r="G37" s="149">
        <v>0</v>
      </c>
      <c r="H37" s="124">
        <v>0</v>
      </c>
      <c r="I37" s="124">
        <v>0</v>
      </c>
      <c r="J37" s="124">
        <v>0</v>
      </c>
      <c r="K37" s="124"/>
      <c r="L37" s="124">
        <v>0</v>
      </c>
      <c r="M37" s="124">
        <v>0</v>
      </c>
      <c r="N37" s="124"/>
      <c r="O37" s="149">
        <v>0</v>
      </c>
      <c r="P37" s="149"/>
      <c r="Q37" s="149"/>
      <c r="R37" s="149"/>
      <c r="S37" s="149"/>
      <c r="T37" s="149"/>
      <c r="U37" s="149"/>
      <c r="V37" s="149"/>
      <c r="W37" s="155"/>
    </row>
    <row r="38" spans="1:24" s="157" customFormat="1" ht="23.25" x14ac:dyDescent="0.5">
      <c r="A38" s="131" t="s">
        <v>215</v>
      </c>
      <c r="B38" s="156">
        <v>310600</v>
      </c>
      <c r="C38" s="130">
        <v>0</v>
      </c>
      <c r="D38" s="130"/>
      <c r="E38" s="130"/>
      <c r="F38" s="130"/>
      <c r="G38" s="130">
        <v>0</v>
      </c>
      <c r="H38" s="130">
        <v>0</v>
      </c>
      <c r="I38" s="130">
        <v>0</v>
      </c>
      <c r="J38" s="130">
        <v>0</v>
      </c>
      <c r="K38" s="130"/>
      <c r="L38" s="130">
        <v>0</v>
      </c>
      <c r="M38" s="130">
        <v>0</v>
      </c>
      <c r="N38" s="130"/>
      <c r="O38" s="130">
        <v>15000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/>
    </row>
    <row r="39" spans="1:24" s="100" customFormat="1" ht="23.25" x14ac:dyDescent="0.5">
      <c r="A39" s="158" t="s">
        <v>216</v>
      </c>
      <c r="B39" s="159"/>
      <c r="C39" s="124"/>
      <c r="D39" s="124">
        <v>0</v>
      </c>
      <c r="E39" s="124">
        <v>0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0</v>
      </c>
      <c r="P39" s="124"/>
      <c r="Q39" s="124"/>
      <c r="R39" s="124"/>
      <c r="S39" s="124">
        <v>0</v>
      </c>
      <c r="T39" s="124"/>
      <c r="U39" s="124">
        <v>0</v>
      </c>
      <c r="V39" s="124"/>
      <c r="W39" s="130">
        <f t="shared" ref="W39:W40" si="4">SUM(C39:V39)</f>
        <v>0</v>
      </c>
      <c r="X39" s="124"/>
    </row>
    <row r="40" spans="1:24" s="161" customFormat="1" ht="18" x14ac:dyDescent="0.4">
      <c r="A40" s="133" t="s">
        <v>189</v>
      </c>
      <c r="B40" s="134"/>
      <c r="C40" s="135">
        <f>SUM(C33:C38)</f>
        <v>0</v>
      </c>
      <c r="D40" s="135">
        <f>SUM(D33:D39)</f>
        <v>0</v>
      </c>
      <c r="E40" s="135">
        <f>SUM(E33:E39)</f>
        <v>0</v>
      </c>
      <c r="F40" s="135"/>
      <c r="G40" s="135">
        <f>SUM(G33:G39)</f>
        <v>0</v>
      </c>
      <c r="H40" s="160">
        <v>0</v>
      </c>
      <c r="I40" s="135">
        <f>SUM(I33:I38)</f>
        <v>0</v>
      </c>
      <c r="J40" s="160">
        <v>0</v>
      </c>
      <c r="K40" s="160"/>
      <c r="L40" s="135">
        <f>SUM(L33:L38)</f>
        <v>0</v>
      </c>
      <c r="M40" s="135">
        <f>SUM(M33:M38)</f>
        <v>0</v>
      </c>
      <c r="N40" s="135"/>
      <c r="O40" s="135">
        <f t="shared" ref="O40:V40" si="5">SUM(O33:O38)</f>
        <v>245000</v>
      </c>
      <c r="P40" s="135">
        <f t="shared" si="5"/>
        <v>0</v>
      </c>
      <c r="Q40" s="135">
        <f t="shared" si="5"/>
        <v>0</v>
      </c>
      <c r="R40" s="135"/>
      <c r="S40" s="135">
        <f t="shared" si="5"/>
        <v>0</v>
      </c>
      <c r="T40" s="135">
        <f t="shared" si="5"/>
        <v>0</v>
      </c>
      <c r="U40" s="135">
        <f>SUM(U33:U39)</f>
        <v>0</v>
      </c>
      <c r="V40" s="135">
        <f t="shared" si="5"/>
        <v>0</v>
      </c>
      <c r="W40" s="135">
        <f t="shared" si="4"/>
        <v>245000</v>
      </c>
    </row>
    <row r="41" spans="1:24" s="100" customFormat="1" ht="23.25" x14ac:dyDescent="0.5">
      <c r="A41" s="904" t="s">
        <v>76</v>
      </c>
      <c r="B41" s="904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</row>
    <row r="42" spans="1:24" s="100" customFormat="1" ht="23.25" x14ac:dyDescent="0.5">
      <c r="A42" s="904" t="s">
        <v>109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</row>
    <row r="43" spans="1:24" s="100" customFormat="1" ht="23.25" x14ac:dyDescent="0.5">
      <c r="A43" s="904" t="s">
        <v>454</v>
      </c>
      <c r="B43" s="904"/>
      <c r="C43" s="904"/>
      <c r="D43" s="904"/>
      <c r="E43" s="904"/>
      <c r="F43" s="904"/>
      <c r="G43" s="904"/>
      <c r="H43" s="904"/>
      <c r="I43" s="904"/>
      <c r="J43" s="904"/>
      <c r="K43" s="904"/>
      <c r="L43" s="904"/>
      <c r="M43" s="904"/>
      <c r="N43" s="904"/>
      <c r="O43" s="904"/>
      <c r="P43" s="904"/>
      <c r="Q43" s="904"/>
      <c r="R43" s="904"/>
      <c r="S43" s="904"/>
      <c r="T43" s="904"/>
      <c r="U43" s="904"/>
      <c r="V43" s="904"/>
      <c r="W43" s="904"/>
    </row>
    <row r="44" spans="1:24" s="136" customFormat="1" ht="18" x14ac:dyDescent="0.4">
      <c r="A44" s="101"/>
      <c r="B44" s="102"/>
      <c r="C44" s="103" t="s">
        <v>41</v>
      </c>
      <c r="D44" s="914" t="s">
        <v>110</v>
      </c>
      <c r="E44" s="915"/>
      <c r="F44" s="927" t="s">
        <v>111</v>
      </c>
      <c r="G44" s="928"/>
      <c r="H44" s="913" t="s">
        <v>112</v>
      </c>
      <c r="I44" s="916"/>
      <c r="J44" s="929" t="s">
        <v>113</v>
      </c>
      <c r="K44" s="930"/>
      <c r="L44" s="151" t="s">
        <v>113</v>
      </c>
      <c r="M44" s="927" t="s">
        <v>113</v>
      </c>
      <c r="N44" s="916"/>
      <c r="O44" s="913" t="s">
        <v>114</v>
      </c>
      <c r="P44" s="914"/>
      <c r="Q44" s="913" t="s">
        <v>115</v>
      </c>
      <c r="R44" s="914"/>
      <c r="S44" s="915"/>
      <c r="T44" s="913" t="s">
        <v>201</v>
      </c>
      <c r="U44" s="916"/>
      <c r="V44" s="151" t="s">
        <v>113</v>
      </c>
      <c r="W44" s="104"/>
    </row>
    <row r="45" spans="1:24" s="100" customFormat="1" ht="23.25" x14ac:dyDescent="0.5">
      <c r="A45" s="105"/>
      <c r="B45" s="106"/>
      <c r="C45" s="107"/>
      <c r="D45" s="917"/>
      <c r="E45" s="918"/>
      <c r="F45" s="919" t="s">
        <v>202</v>
      </c>
      <c r="G45" s="920"/>
      <c r="H45" s="251"/>
      <c r="I45" s="215"/>
      <c r="J45" s="921" t="s">
        <v>118</v>
      </c>
      <c r="K45" s="922"/>
      <c r="L45" s="113" t="s">
        <v>119</v>
      </c>
      <c r="M45" s="919" t="s">
        <v>120</v>
      </c>
      <c r="N45" s="923"/>
      <c r="O45" s="214"/>
      <c r="P45" s="108"/>
      <c r="Q45" s="921" t="s">
        <v>121</v>
      </c>
      <c r="R45" s="924"/>
      <c r="S45" s="922"/>
      <c r="T45" s="921" t="s">
        <v>203</v>
      </c>
      <c r="U45" s="923"/>
      <c r="V45" s="252" t="s">
        <v>122</v>
      </c>
      <c r="W45" s="109"/>
    </row>
    <row r="46" spans="1:24" s="100" customFormat="1" ht="23.25" x14ac:dyDescent="0.5">
      <c r="A46" s="105" t="s">
        <v>123</v>
      </c>
      <c r="B46" s="106"/>
      <c r="C46" s="110" t="s">
        <v>204</v>
      </c>
      <c r="D46" s="917" t="s">
        <v>205</v>
      </c>
      <c r="E46" s="918"/>
      <c r="F46" s="211"/>
      <c r="G46" s="177" t="s">
        <v>126</v>
      </c>
      <c r="H46" s="936" t="s">
        <v>127</v>
      </c>
      <c r="I46" s="926"/>
      <c r="J46" s="937" t="s">
        <v>128</v>
      </c>
      <c r="K46" s="938"/>
      <c r="L46" s="110"/>
      <c r="M46" s="939" t="s">
        <v>129</v>
      </c>
      <c r="N46" s="926"/>
      <c r="O46" s="936" t="s">
        <v>130</v>
      </c>
      <c r="P46" s="940"/>
      <c r="Q46" s="936" t="s">
        <v>131</v>
      </c>
      <c r="R46" s="940"/>
      <c r="S46" s="941"/>
      <c r="T46" s="936" t="s">
        <v>132</v>
      </c>
      <c r="U46" s="926"/>
      <c r="V46" s="213"/>
      <c r="W46" s="109"/>
    </row>
    <row r="47" spans="1:24" s="100" customFormat="1" ht="23.25" x14ac:dyDescent="0.5">
      <c r="A47" s="111"/>
      <c r="B47" s="152"/>
      <c r="C47" s="103" t="s">
        <v>134</v>
      </c>
      <c r="D47" s="103" t="s">
        <v>135</v>
      </c>
      <c r="E47" s="103" t="s">
        <v>135</v>
      </c>
      <c r="F47" s="174" t="s">
        <v>136</v>
      </c>
      <c r="G47" s="174" t="s">
        <v>137</v>
      </c>
      <c r="H47" s="174" t="s">
        <v>138</v>
      </c>
      <c r="I47" s="103" t="s">
        <v>206</v>
      </c>
      <c r="J47" s="103" t="s">
        <v>140</v>
      </c>
      <c r="K47" s="103" t="s">
        <v>141</v>
      </c>
      <c r="L47" s="103" t="s">
        <v>142</v>
      </c>
      <c r="M47" s="174" t="s">
        <v>207</v>
      </c>
      <c r="N47" s="174" t="s">
        <v>442</v>
      </c>
      <c r="O47" s="103" t="s">
        <v>138</v>
      </c>
      <c r="P47" s="103" t="s">
        <v>144</v>
      </c>
      <c r="Q47" s="103" t="s">
        <v>145</v>
      </c>
      <c r="R47" s="113" t="s">
        <v>146</v>
      </c>
      <c r="S47" s="175" t="s">
        <v>147</v>
      </c>
      <c r="T47" s="114" t="s">
        <v>148</v>
      </c>
      <c r="U47" s="103" t="s">
        <v>149</v>
      </c>
      <c r="V47" s="103" t="s">
        <v>150</v>
      </c>
      <c r="W47" s="253" t="s">
        <v>151</v>
      </c>
    </row>
    <row r="48" spans="1:24" s="100" customFormat="1" ht="23.25" x14ac:dyDescent="0.5">
      <c r="A48" s="105"/>
      <c r="B48" s="106"/>
      <c r="C48" s="113"/>
      <c r="D48" s="113" t="s">
        <v>152</v>
      </c>
      <c r="E48" s="113" t="s">
        <v>153</v>
      </c>
      <c r="F48" s="176" t="s">
        <v>154</v>
      </c>
      <c r="G48" s="176" t="s">
        <v>155</v>
      </c>
      <c r="H48" s="176" t="s">
        <v>156</v>
      </c>
      <c r="I48" s="113" t="s">
        <v>209</v>
      </c>
      <c r="J48" s="113" t="s">
        <v>158</v>
      </c>
      <c r="K48" s="113" t="s">
        <v>159</v>
      </c>
      <c r="L48" s="113" t="s">
        <v>160</v>
      </c>
      <c r="M48" s="176" t="s">
        <v>161</v>
      </c>
      <c r="N48" s="176" t="s">
        <v>443</v>
      </c>
      <c r="O48" s="113" t="s">
        <v>163</v>
      </c>
      <c r="P48" s="113" t="s">
        <v>164</v>
      </c>
      <c r="Q48" s="113" t="s">
        <v>165</v>
      </c>
      <c r="R48" s="113" t="s">
        <v>166</v>
      </c>
      <c r="S48" s="175" t="s">
        <v>167</v>
      </c>
      <c r="T48" s="114" t="s">
        <v>168</v>
      </c>
      <c r="U48" s="113" t="s">
        <v>169</v>
      </c>
      <c r="V48" s="113" t="s">
        <v>170</v>
      </c>
      <c r="W48" s="109"/>
    </row>
    <row r="49" spans="1:23" s="100" customFormat="1" ht="23.25" x14ac:dyDescent="0.5">
      <c r="A49" s="115"/>
      <c r="B49" s="116"/>
      <c r="C49" s="110" t="s">
        <v>171</v>
      </c>
      <c r="D49" s="110" t="s">
        <v>172</v>
      </c>
      <c r="E49" s="110" t="s">
        <v>173</v>
      </c>
      <c r="F49" s="177" t="s">
        <v>174</v>
      </c>
      <c r="G49" s="177"/>
      <c r="H49" s="177" t="s">
        <v>175</v>
      </c>
      <c r="I49" s="110" t="s">
        <v>210</v>
      </c>
      <c r="J49" s="110"/>
      <c r="K49" s="117" t="s">
        <v>177</v>
      </c>
      <c r="L49" s="110"/>
      <c r="M49" s="177" t="s">
        <v>179</v>
      </c>
      <c r="N49" s="177" t="s">
        <v>444</v>
      </c>
      <c r="O49" s="110" t="s">
        <v>180</v>
      </c>
      <c r="P49" s="110" t="s">
        <v>181</v>
      </c>
      <c r="Q49" s="110" t="s">
        <v>182</v>
      </c>
      <c r="R49" s="117" t="s">
        <v>183</v>
      </c>
      <c r="S49" s="374" t="s">
        <v>452</v>
      </c>
      <c r="T49" s="110" t="s">
        <v>185</v>
      </c>
      <c r="U49" s="110" t="s">
        <v>186</v>
      </c>
      <c r="V49" s="110"/>
      <c r="W49" s="118"/>
    </row>
    <row r="50" spans="1:23" ht="21" x14ac:dyDescent="0.45">
      <c r="A50" s="162" t="s">
        <v>50</v>
      </c>
      <c r="B50" s="120"/>
      <c r="C50" s="123"/>
      <c r="D50" s="123"/>
      <c r="E50" s="123"/>
      <c r="F50" s="123"/>
      <c r="G50" s="139"/>
      <c r="H50" s="139"/>
      <c r="I50" s="123"/>
      <c r="J50" s="123"/>
      <c r="K50" s="123"/>
      <c r="L50" s="123"/>
      <c r="M50" s="139"/>
      <c r="N50" s="139"/>
      <c r="O50" s="123"/>
      <c r="P50" s="123"/>
      <c r="Q50" s="123"/>
      <c r="R50" s="123"/>
      <c r="S50" s="139"/>
      <c r="T50" s="123"/>
      <c r="U50" s="123"/>
      <c r="V50" s="123"/>
      <c r="W50" s="123"/>
    </row>
    <row r="51" spans="1:23" ht="18" x14ac:dyDescent="0.4">
      <c r="A51" s="163" t="s">
        <v>217</v>
      </c>
      <c r="B51" s="132">
        <v>320100</v>
      </c>
      <c r="C51" s="130">
        <v>0</v>
      </c>
      <c r="D51" s="130"/>
      <c r="E51" s="130"/>
      <c r="F51" s="123"/>
      <c r="G51" s="123"/>
      <c r="H51" s="123"/>
      <c r="I51" s="130"/>
      <c r="J51" s="130">
        <v>0</v>
      </c>
      <c r="K51" s="130"/>
      <c r="L51" s="130">
        <v>0</v>
      </c>
      <c r="M51" s="130">
        <v>0</v>
      </c>
      <c r="N51" s="130"/>
      <c r="O51" s="130">
        <v>30000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>SUM(C51:V51)</f>
        <v>30000</v>
      </c>
    </row>
    <row r="52" spans="1:23" ht="18" x14ac:dyDescent="0.4">
      <c r="A52" s="163" t="s">
        <v>218</v>
      </c>
      <c r="B52" s="156">
        <v>320200</v>
      </c>
      <c r="C52" s="130"/>
      <c r="D52" s="130"/>
      <c r="E52" s="130"/>
      <c r="F52" s="130"/>
      <c r="G52" s="143"/>
      <c r="H52" s="143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>
        <f>SUM(C52:V52)</f>
        <v>0</v>
      </c>
    </row>
    <row r="53" spans="1:23" ht="18" x14ac:dyDescent="0.4">
      <c r="A53" s="131" t="s">
        <v>333</v>
      </c>
      <c r="B53" s="156">
        <v>320300</v>
      </c>
      <c r="C53" s="130">
        <v>0</v>
      </c>
      <c r="D53" s="130"/>
      <c r="E53" s="130"/>
      <c r="F53" s="130"/>
      <c r="G53" s="130"/>
      <c r="H53" s="130"/>
      <c r="I53" s="130"/>
      <c r="J53" s="130">
        <v>0</v>
      </c>
      <c r="K53" s="130"/>
      <c r="L53" s="130">
        <v>0</v>
      </c>
      <c r="M53" s="130">
        <v>0</v>
      </c>
      <c r="N53" s="130"/>
      <c r="O53" s="130">
        <v>0</v>
      </c>
      <c r="P53" s="130">
        <v>0</v>
      </c>
      <c r="Q53" s="130">
        <v>0</v>
      </c>
      <c r="R53" s="123">
        <v>0</v>
      </c>
      <c r="S53" s="143">
        <v>560000</v>
      </c>
      <c r="T53" s="130">
        <v>0</v>
      </c>
      <c r="U53" s="130">
        <v>0</v>
      </c>
      <c r="V53" s="130">
        <v>0</v>
      </c>
      <c r="W53" s="130">
        <f>SUM(C53:V53)</f>
        <v>560000</v>
      </c>
    </row>
    <row r="54" spans="1:23" ht="18" x14ac:dyDescent="0.4">
      <c r="A54" s="141" t="s">
        <v>219</v>
      </c>
      <c r="B54" s="120"/>
      <c r="C54" s="123">
        <v>0</v>
      </c>
      <c r="D54" s="123"/>
      <c r="E54" s="123"/>
      <c r="F54" s="123"/>
      <c r="G54" s="123"/>
      <c r="H54" s="123"/>
      <c r="I54" s="123"/>
      <c r="J54" s="123">
        <v>0</v>
      </c>
      <c r="K54" s="123"/>
      <c r="L54" s="123">
        <v>0</v>
      </c>
      <c r="M54" s="123">
        <v>0</v>
      </c>
      <c r="N54" s="123"/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f t="shared" ref="W54:W68" si="6">SUM(C54:V54)</f>
        <v>0</v>
      </c>
    </row>
    <row r="55" spans="1:23" ht="18" x14ac:dyDescent="0.4">
      <c r="A55" s="131" t="s">
        <v>220</v>
      </c>
      <c r="B55" s="156"/>
      <c r="C55" s="130">
        <v>0</v>
      </c>
      <c r="D55" s="130"/>
      <c r="E55" s="130"/>
      <c r="F55" s="123"/>
      <c r="G55" s="123"/>
      <c r="H55" s="123"/>
      <c r="I55" s="130"/>
      <c r="J55" s="130">
        <v>0</v>
      </c>
      <c r="K55" s="130"/>
      <c r="L55" s="130">
        <v>0</v>
      </c>
      <c r="M55" s="130">
        <v>0</v>
      </c>
      <c r="N55" s="130"/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f t="shared" si="6"/>
        <v>0</v>
      </c>
    </row>
    <row r="56" spans="1:23" ht="18" x14ac:dyDescent="0.4">
      <c r="A56" s="131" t="s">
        <v>277</v>
      </c>
      <c r="B56" s="156"/>
      <c r="C56" s="130"/>
      <c r="D56" s="130"/>
      <c r="E56" s="130"/>
      <c r="F56" s="123"/>
      <c r="G56" s="123"/>
      <c r="H56" s="123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>
        <f t="shared" si="6"/>
        <v>0</v>
      </c>
    </row>
    <row r="57" spans="1:23" ht="18" x14ac:dyDescent="0.4">
      <c r="A57" s="131" t="s">
        <v>221</v>
      </c>
      <c r="B57" s="156"/>
      <c r="C57" s="130"/>
      <c r="D57" s="130"/>
      <c r="E57" s="130"/>
      <c r="F57" s="123"/>
      <c r="G57" s="123"/>
      <c r="H57" s="123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>
        <f t="shared" si="6"/>
        <v>0</v>
      </c>
    </row>
    <row r="58" spans="1:23" ht="18" x14ac:dyDescent="0.4">
      <c r="A58" s="131" t="s">
        <v>222</v>
      </c>
      <c r="B58" s="156"/>
      <c r="C58" s="130"/>
      <c r="D58" s="130"/>
      <c r="E58" s="130"/>
      <c r="F58" s="123"/>
      <c r="G58" s="123"/>
      <c r="H58" s="123"/>
      <c r="I58" s="130"/>
      <c r="J58" s="130"/>
      <c r="K58" s="130"/>
      <c r="L58" s="130"/>
      <c r="M58" s="130">
        <v>0</v>
      </c>
      <c r="N58" s="130"/>
      <c r="O58" s="130"/>
      <c r="P58" s="130"/>
      <c r="Q58" s="130"/>
      <c r="R58" s="130"/>
      <c r="S58" s="130"/>
      <c r="T58" s="130"/>
      <c r="U58" s="130"/>
      <c r="V58" s="130"/>
      <c r="W58" s="130">
        <f t="shared" si="6"/>
        <v>0</v>
      </c>
    </row>
    <row r="59" spans="1:23" ht="18" x14ac:dyDescent="0.4">
      <c r="A59" s="131" t="s">
        <v>223</v>
      </c>
      <c r="B59" s="156"/>
      <c r="C59" s="130"/>
      <c r="D59" s="130"/>
      <c r="E59" s="130"/>
      <c r="F59" s="123"/>
      <c r="G59" s="123"/>
      <c r="H59" s="123"/>
      <c r="I59" s="130"/>
      <c r="J59" s="130"/>
      <c r="K59" s="130"/>
      <c r="L59" s="130"/>
      <c r="M59" s="130">
        <v>0</v>
      </c>
      <c r="N59" s="130"/>
      <c r="O59" s="130"/>
      <c r="P59" s="130"/>
      <c r="Q59" s="130"/>
      <c r="R59" s="130"/>
      <c r="S59" s="130"/>
      <c r="T59" s="130"/>
      <c r="U59" s="130"/>
      <c r="V59" s="130"/>
      <c r="W59" s="130">
        <f t="shared" si="6"/>
        <v>0</v>
      </c>
    </row>
    <row r="60" spans="1:23" ht="18" x14ac:dyDescent="0.4">
      <c r="A60" s="131" t="s">
        <v>224</v>
      </c>
      <c r="B60" s="156"/>
      <c r="C60" s="130"/>
      <c r="D60" s="130"/>
      <c r="E60" s="130"/>
      <c r="F60" s="123"/>
      <c r="G60" s="123"/>
      <c r="H60" s="123"/>
      <c r="I60" s="130"/>
      <c r="J60" s="130"/>
      <c r="K60" s="130"/>
      <c r="L60" s="130"/>
      <c r="M60" s="130">
        <v>0</v>
      </c>
      <c r="N60" s="130">
        <v>20000</v>
      </c>
      <c r="O60" s="130"/>
      <c r="P60" s="130"/>
      <c r="Q60" s="130"/>
      <c r="R60" s="130"/>
      <c r="S60" s="130"/>
      <c r="T60" s="130"/>
      <c r="U60" s="130"/>
      <c r="V60" s="130"/>
      <c r="W60" s="130"/>
    </row>
    <row r="61" spans="1:23" ht="18" x14ac:dyDescent="0.4">
      <c r="A61" s="131" t="s">
        <v>437</v>
      </c>
      <c r="B61" s="156"/>
      <c r="C61" s="130"/>
      <c r="D61" s="130"/>
      <c r="E61" s="130"/>
      <c r="F61" s="123"/>
      <c r="G61" s="123"/>
      <c r="H61" s="123"/>
      <c r="I61" s="130"/>
      <c r="J61" s="130">
        <v>0</v>
      </c>
      <c r="K61" s="130">
        <v>20000</v>
      </c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</row>
    <row r="62" spans="1:23" ht="18" x14ac:dyDescent="0.4">
      <c r="A62" s="131" t="s">
        <v>272</v>
      </c>
      <c r="B62" s="156"/>
      <c r="C62" s="130"/>
      <c r="D62" s="130"/>
      <c r="E62" s="130"/>
      <c r="F62" s="123"/>
      <c r="G62" s="123"/>
      <c r="H62" s="123"/>
      <c r="I62" s="130"/>
      <c r="J62" s="130"/>
      <c r="K62" s="130">
        <v>15000</v>
      </c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</row>
    <row r="63" spans="1:23" ht="18" x14ac:dyDescent="0.4">
      <c r="A63" s="131" t="s">
        <v>438</v>
      </c>
      <c r="B63" s="156"/>
      <c r="C63" s="130"/>
      <c r="D63" s="130"/>
      <c r="E63" s="130"/>
      <c r="F63" s="123"/>
      <c r="G63" s="123"/>
      <c r="H63" s="123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</row>
    <row r="64" spans="1:23" ht="18" x14ac:dyDescent="0.4">
      <c r="A64" s="131" t="s">
        <v>439</v>
      </c>
      <c r="B64" s="156"/>
      <c r="C64" s="130"/>
      <c r="D64" s="130"/>
      <c r="E64" s="130"/>
      <c r="F64" s="123"/>
      <c r="G64" s="123"/>
      <c r="H64" s="123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</row>
    <row r="65" spans="1:23" ht="18" x14ac:dyDescent="0.4">
      <c r="A65" s="131" t="s">
        <v>440</v>
      </c>
      <c r="B65" s="156"/>
      <c r="C65" s="130"/>
      <c r="D65" s="130"/>
      <c r="E65" s="130"/>
      <c r="F65" s="123"/>
      <c r="G65" s="123"/>
      <c r="H65" s="123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</row>
    <row r="66" spans="1:23" ht="18" x14ac:dyDescent="0.4">
      <c r="A66" s="131" t="s">
        <v>441</v>
      </c>
      <c r="B66" s="156"/>
      <c r="C66" s="130"/>
      <c r="D66" s="130"/>
      <c r="E66" s="130"/>
      <c r="F66" s="123"/>
      <c r="G66" s="123"/>
      <c r="H66" s="123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>
        <v>0</v>
      </c>
      <c r="V66" s="130"/>
      <c r="W66" s="130">
        <f t="shared" si="6"/>
        <v>0</v>
      </c>
    </row>
    <row r="67" spans="1:23" ht="18" x14ac:dyDescent="0.4">
      <c r="A67" s="163" t="s">
        <v>225</v>
      </c>
      <c r="B67" s="156">
        <v>320300</v>
      </c>
      <c r="C67" s="130"/>
      <c r="D67" s="130">
        <v>0</v>
      </c>
      <c r="E67" s="130">
        <v>0</v>
      </c>
      <c r="F67" s="130"/>
      <c r="G67" s="143"/>
      <c r="H67" s="143"/>
      <c r="I67" s="130"/>
      <c r="J67" s="130"/>
      <c r="K67" s="130"/>
      <c r="L67" s="130"/>
      <c r="M67" s="143"/>
      <c r="N67" s="143"/>
      <c r="O67" s="130"/>
      <c r="P67" s="130"/>
      <c r="Q67" s="130"/>
      <c r="R67" s="130"/>
      <c r="S67" s="130"/>
      <c r="T67" s="130"/>
      <c r="U67" s="130"/>
      <c r="V67" s="130"/>
      <c r="W67" s="130">
        <f t="shared" si="6"/>
        <v>0</v>
      </c>
    </row>
    <row r="68" spans="1:23" ht="18" x14ac:dyDescent="0.4">
      <c r="A68" s="164" t="s">
        <v>226</v>
      </c>
      <c r="B68" s="138"/>
      <c r="C68" s="124"/>
      <c r="D68" s="124">
        <v>0</v>
      </c>
      <c r="E68" s="124">
        <v>0</v>
      </c>
      <c r="F68" s="124"/>
      <c r="G68" s="165"/>
      <c r="H68" s="165"/>
      <c r="I68" s="124"/>
      <c r="J68" s="124"/>
      <c r="K68" s="124"/>
      <c r="L68" s="124"/>
      <c r="M68" s="165"/>
      <c r="N68" s="165"/>
      <c r="O68" s="124"/>
      <c r="P68" s="124"/>
      <c r="Q68" s="124"/>
      <c r="R68" s="124"/>
      <c r="S68" s="124"/>
      <c r="T68" s="124"/>
      <c r="U68" s="124"/>
      <c r="V68" s="124"/>
      <c r="W68" s="130">
        <f t="shared" si="6"/>
        <v>0</v>
      </c>
    </row>
    <row r="69" spans="1:23" ht="18" x14ac:dyDescent="0.4">
      <c r="A69" s="131" t="s">
        <v>227</v>
      </c>
      <c r="B69" s="132"/>
      <c r="C69" s="130">
        <v>0</v>
      </c>
      <c r="D69" s="130"/>
      <c r="E69" s="130"/>
      <c r="F69" s="130"/>
      <c r="G69" s="130">
        <v>0</v>
      </c>
      <c r="H69" s="123">
        <v>0</v>
      </c>
      <c r="I69" s="130">
        <v>0</v>
      </c>
      <c r="J69" s="130">
        <v>0</v>
      </c>
      <c r="K69" s="130"/>
      <c r="L69" s="130">
        <v>0</v>
      </c>
      <c r="M69" s="130">
        <v>0</v>
      </c>
      <c r="N69" s="130"/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f t="shared" ref="W69:W74" si="7">SUM(C69:V69)</f>
        <v>0</v>
      </c>
    </row>
    <row r="70" spans="1:23" ht="18" x14ac:dyDescent="0.4">
      <c r="A70" s="131" t="s">
        <v>413</v>
      </c>
      <c r="B70" s="132"/>
      <c r="C70" s="130">
        <v>0</v>
      </c>
      <c r="D70" s="130"/>
      <c r="E70" s="130"/>
      <c r="F70" s="123"/>
      <c r="G70" s="123">
        <v>0</v>
      </c>
      <c r="H70" s="123">
        <v>0</v>
      </c>
      <c r="I70" s="130">
        <v>0</v>
      </c>
      <c r="J70" s="130">
        <v>0</v>
      </c>
      <c r="K70" s="130"/>
      <c r="L70" s="130">
        <v>0</v>
      </c>
      <c r="M70" s="130">
        <v>0</v>
      </c>
      <c r="N70" s="130"/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f t="shared" si="7"/>
        <v>0</v>
      </c>
    </row>
    <row r="71" spans="1:23" ht="18" x14ac:dyDescent="0.4">
      <c r="A71" s="131" t="s">
        <v>414</v>
      </c>
      <c r="B71" s="156"/>
      <c r="C71" s="130">
        <v>0</v>
      </c>
      <c r="D71" s="130"/>
      <c r="E71" s="130"/>
      <c r="F71" s="123"/>
      <c r="G71" s="123">
        <v>0</v>
      </c>
      <c r="H71" s="130">
        <v>0</v>
      </c>
      <c r="I71" s="130">
        <v>0</v>
      </c>
      <c r="J71" s="130">
        <v>0</v>
      </c>
      <c r="K71" s="130"/>
      <c r="L71" s="130">
        <v>0</v>
      </c>
      <c r="M71" s="130">
        <v>0</v>
      </c>
      <c r="N71" s="130"/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f t="shared" si="7"/>
        <v>0</v>
      </c>
    </row>
    <row r="72" spans="1:23" ht="18" x14ac:dyDescent="0.4">
      <c r="A72" s="141" t="s">
        <v>415</v>
      </c>
      <c r="B72" s="142"/>
      <c r="C72" s="123"/>
      <c r="D72" s="123"/>
      <c r="E72" s="123"/>
      <c r="F72" s="123"/>
      <c r="G72" s="139"/>
      <c r="H72" s="139"/>
      <c r="I72" s="123"/>
      <c r="J72" s="123"/>
      <c r="K72" s="123"/>
      <c r="L72" s="123"/>
      <c r="M72" s="139"/>
      <c r="N72" s="139"/>
      <c r="O72" s="123"/>
      <c r="P72" s="123"/>
      <c r="Q72" s="123"/>
      <c r="R72" s="123"/>
      <c r="S72" s="123"/>
      <c r="T72" s="123"/>
      <c r="U72" s="123"/>
      <c r="V72" s="123"/>
      <c r="W72" s="130">
        <f t="shared" si="7"/>
        <v>0</v>
      </c>
    </row>
    <row r="73" spans="1:23" ht="18" x14ac:dyDescent="0.4">
      <c r="A73" s="131" t="s">
        <v>416</v>
      </c>
      <c r="B73" s="132"/>
      <c r="C73" s="130">
        <v>0</v>
      </c>
      <c r="D73" s="130"/>
      <c r="E73" s="130"/>
      <c r="F73" s="123"/>
      <c r="G73" s="123">
        <v>0</v>
      </c>
      <c r="H73" s="123">
        <v>0</v>
      </c>
      <c r="I73" s="130">
        <v>0</v>
      </c>
      <c r="J73" s="130">
        <v>0</v>
      </c>
      <c r="K73" s="130"/>
      <c r="L73" s="130">
        <v>0</v>
      </c>
      <c r="M73" s="143">
        <v>0</v>
      </c>
      <c r="N73" s="143"/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f t="shared" si="7"/>
        <v>0</v>
      </c>
    </row>
    <row r="74" spans="1:23" ht="18" x14ac:dyDescent="0.4">
      <c r="A74" s="144" t="s">
        <v>417</v>
      </c>
      <c r="B74" s="132"/>
      <c r="C74" s="130">
        <v>0</v>
      </c>
      <c r="D74" s="130"/>
      <c r="E74" s="130"/>
      <c r="F74" s="123"/>
      <c r="G74" s="123">
        <v>0</v>
      </c>
      <c r="H74" s="130">
        <v>0</v>
      </c>
      <c r="I74" s="130">
        <v>0</v>
      </c>
      <c r="J74" s="130">
        <v>0</v>
      </c>
      <c r="K74" s="130"/>
      <c r="L74" s="130">
        <v>0</v>
      </c>
      <c r="M74" s="130">
        <v>0</v>
      </c>
      <c r="N74" s="130"/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f t="shared" si="7"/>
        <v>0</v>
      </c>
    </row>
    <row r="75" spans="1:23" s="136" customFormat="1" ht="18" x14ac:dyDescent="0.4">
      <c r="A75" s="144" t="s">
        <v>435</v>
      </c>
      <c r="B75" s="167"/>
      <c r="C75" s="130"/>
      <c r="D75" s="130"/>
      <c r="E75" s="130"/>
      <c r="F75" s="130"/>
      <c r="G75" s="143"/>
      <c r="H75" s="143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</row>
    <row r="76" spans="1:23" s="136" customFormat="1" ht="18" x14ac:dyDescent="0.4">
      <c r="A76" s="144" t="s">
        <v>436</v>
      </c>
      <c r="B76" s="145"/>
      <c r="C76" s="123"/>
      <c r="D76" s="123"/>
      <c r="E76" s="123"/>
      <c r="F76" s="123"/>
      <c r="G76" s="139"/>
      <c r="H76" s="14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30"/>
    </row>
    <row r="77" spans="1:23" s="136" customFormat="1" ht="18" x14ac:dyDescent="0.4">
      <c r="A77" s="131" t="s">
        <v>428</v>
      </c>
      <c r="B77" s="132"/>
      <c r="C77" s="123">
        <v>0</v>
      </c>
      <c r="D77" s="123"/>
      <c r="E77" s="123">
        <v>0</v>
      </c>
      <c r="F77" s="123">
        <v>0</v>
      </c>
      <c r="G77" s="139">
        <v>0</v>
      </c>
      <c r="H77" s="130">
        <v>0</v>
      </c>
      <c r="I77" s="123">
        <v>0</v>
      </c>
      <c r="J77" s="123">
        <v>0</v>
      </c>
      <c r="K77" s="123"/>
      <c r="L77" s="123">
        <v>0</v>
      </c>
      <c r="M77" s="123">
        <v>0</v>
      </c>
      <c r="N77" s="123"/>
      <c r="O77" s="123">
        <v>0</v>
      </c>
      <c r="P77" s="123">
        <v>0</v>
      </c>
      <c r="Q77" s="123">
        <v>0</v>
      </c>
      <c r="R77" s="123">
        <v>0</v>
      </c>
      <c r="S77" s="123">
        <v>0</v>
      </c>
      <c r="T77" s="123">
        <v>0</v>
      </c>
      <c r="U77" s="123">
        <v>0</v>
      </c>
      <c r="V77" s="123">
        <v>0</v>
      </c>
      <c r="W77" s="130"/>
    </row>
    <row r="78" spans="1:23" ht="18" x14ac:dyDescent="0.4">
      <c r="A78" s="144" t="s">
        <v>429</v>
      </c>
      <c r="B78" s="145"/>
      <c r="C78" s="130"/>
      <c r="D78" s="130"/>
      <c r="E78" s="130"/>
      <c r="F78" s="130"/>
      <c r="G78" s="143">
        <v>0</v>
      </c>
      <c r="H78" s="143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</row>
    <row r="79" spans="1:23" ht="18" x14ac:dyDescent="0.4">
      <c r="A79" s="131" t="s">
        <v>430</v>
      </c>
      <c r="B79" s="145"/>
      <c r="C79" s="130"/>
      <c r="D79" s="130"/>
      <c r="E79" s="168">
        <v>0</v>
      </c>
      <c r="F79" s="169"/>
      <c r="G79" s="123">
        <v>0</v>
      </c>
      <c r="H79" s="130">
        <v>0</v>
      </c>
      <c r="I79" s="168"/>
      <c r="J79" s="130">
        <v>0</v>
      </c>
      <c r="K79" s="123"/>
      <c r="L79" s="123">
        <v>0</v>
      </c>
      <c r="M79" s="123">
        <v>0</v>
      </c>
      <c r="N79" s="123"/>
      <c r="O79" s="168" t="s">
        <v>230</v>
      </c>
      <c r="P79" s="168" t="s">
        <v>230</v>
      </c>
      <c r="Q79" s="168" t="s">
        <v>230</v>
      </c>
      <c r="R79" s="168" t="s">
        <v>230</v>
      </c>
      <c r="S79" s="168" t="s">
        <v>230</v>
      </c>
      <c r="T79" s="168" t="s">
        <v>230</v>
      </c>
      <c r="U79" s="168" t="s">
        <v>230</v>
      </c>
      <c r="V79" s="168" t="s">
        <v>230</v>
      </c>
      <c r="W79" s="130"/>
    </row>
    <row r="80" spans="1:23" s="170" customFormat="1" ht="18" x14ac:dyDescent="0.4">
      <c r="A80" s="131" t="s">
        <v>431</v>
      </c>
      <c r="B80" s="132"/>
      <c r="C80" s="130"/>
      <c r="D80" s="130"/>
      <c r="E80" s="130"/>
      <c r="F80" s="130"/>
      <c r="G80" s="143"/>
      <c r="H80" s="143">
        <v>0</v>
      </c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</row>
    <row r="81" spans="1:23" s="171" customFormat="1" ht="18" x14ac:dyDescent="0.4">
      <c r="A81" s="146" t="s">
        <v>432</v>
      </c>
      <c r="B81" s="148"/>
      <c r="C81" s="149"/>
      <c r="D81" s="149"/>
      <c r="E81" s="149"/>
      <c r="F81" s="149"/>
      <c r="G81" s="150"/>
      <c r="H81" s="150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24"/>
      <c r="U81" s="149"/>
      <c r="V81" s="149"/>
      <c r="W81" s="130"/>
    </row>
    <row r="82" spans="1:23" s="170" customFormat="1" ht="18" x14ac:dyDescent="0.4">
      <c r="A82" s="131" t="s">
        <v>433</v>
      </c>
      <c r="B82" s="132"/>
      <c r="C82" s="130">
        <v>0</v>
      </c>
      <c r="D82" s="130" t="s">
        <v>230</v>
      </c>
      <c r="E82" s="130">
        <v>0</v>
      </c>
      <c r="F82" s="130"/>
      <c r="G82" s="130">
        <v>0</v>
      </c>
      <c r="H82" s="143">
        <v>0</v>
      </c>
      <c r="I82" s="168" t="s">
        <v>230</v>
      </c>
      <c r="J82" s="130">
        <v>0</v>
      </c>
      <c r="K82" s="130"/>
      <c r="L82" s="130"/>
      <c r="M82" s="130">
        <v>0</v>
      </c>
      <c r="N82" s="130"/>
      <c r="O82" s="130">
        <v>0</v>
      </c>
      <c r="P82" s="130">
        <v>0</v>
      </c>
      <c r="Q82" s="130">
        <v>0</v>
      </c>
      <c r="R82" s="130">
        <v>0</v>
      </c>
      <c r="S82" s="130">
        <v>0</v>
      </c>
      <c r="T82" s="172">
        <f>SUM(T75:T80)</f>
        <v>0</v>
      </c>
      <c r="U82" s="130">
        <v>0</v>
      </c>
      <c r="V82" s="130">
        <v>0</v>
      </c>
      <c r="W82" s="130"/>
    </row>
    <row r="83" spans="1:23" ht="18" x14ac:dyDescent="0.4">
      <c r="A83" s="141" t="s">
        <v>445</v>
      </c>
      <c r="B83" s="142">
        <v>320300</v>
      </c>
      <c r="C83" s="123">
        <v>0</v>
      </c>
      <c r="D83" s="123">
        <v>0</v>
      </c>
      <c r="E83" s="123">
        <v>0</v>
      </c>
      <c r="F83" s="123"/>
      <c r="G83" s="123">
        <v>0</v>
      </c>
      <c r="H83" s="123">
        <v>0</v>
      </c>
      <c r="I83" s="123">
        <v>0</v>
      </c>
      <c r="J83" s="123">
        <v>0</v>
      </c>
      <c r="K83" s="123"/>
      <c r="L83" s="123"/>
      <c r="M83" s="123">
        <v>0</v>
      </c>
      <c r="N83" s="123"/>
      <c r="O83" s="123">
        <v>0</v>
      </c>
      <c r="P83" s="123">
        <v>0</v>
      </c>
      <c r="Q83" s="123">
        <v>0</v>
      </c>
      <c r="R83" s="123">
        <v>0</v>
      </c>
      <c r="S83" s="123">
        <v>0</v>
      </c>
      <c r="T83" s="123">
        <v>0</v>
      </c>
      <c r="U83" s="123">
        <v>0</v>
      </c>
      <c r="V83" s="123">
        <v>0</v>
      </c>
      <c r="W83" s="123"/>
    </row>
    <row r="84" spans="1:23" ht="18" x14ac:dyDescent="0.4">
      <c r="A84" s="131" t="s">
        <v>434</v>
      </c>
      <c r="B84" s="156">
        <v>320300</v>
      </c>
      <c r="C84" s="130">
        <v>0</v>
      </c>
      <c r="D84" s="130">
        <v>0</v>
      </c>
      <c r="E84" s="130">
        <v>0</v>
      </c>
      <c r="F84" s="130"/>
      <c r="G84" s="130">
        <v>0</v>
      </c>
      <c r="H84" s="130">
        <v>0</v>
      </c>
      <c r="I84" s="130">
        <v>0</v>
      </c>
      <c r="J84" s="130">
        <v>0</v>
      </c>
      <c r="K84" s="130"/>
      <c r="L84" s="130">
        <v>0</v>
      </c>
      <c r="M84" s="130">
        <v>0</v>
      </c>
      <c r="N84" s="130"/>
      <c r="O84" s="130">
        <v>0</v>
      </c>
      <c r="P84" s="130">
        <v>0</v>
      </c>
      <c r="Q84" s="130">
        <v>0</v>
      </c>
      <c r="R84" s="130"/>
      <c r="S84" s="143">
        <v>0</v>
      </c>
      <c r="T84" s="130">
        <v>0</v>
      </c>
      <c r="U84" s="130">
        <v>0</v>
      </c>
      <c r="V84" s="130">
        <v>0</v>
      </c>
      <c r="W84" s="130"/>
    </row>
    <row r="85" spans="1:23" ht="18" x14ac:dyDescent="0.4">
      <c r="A85" s="131" t="s">
        <v>448</v>
      </c>
      <c r="B85" s="142"/>
      <c r="C85" s="123"/>
      <c r="D85" s="123"/>
      <c r="E85" s="123"/>
      <c r="F85" s="123"/>
      <c r="G85" s="123"/>
      <c r="H85" s="123"/>
      <c r="I85" s="123"/>
      <c r="J85" s="130"/>
      <c r="K85" s="123"/>
      <c r="L85" s="123"/>
      <c r="M85" s="123"/>
      <c r="N85" s="123"/>
      <c r="O85" s="123"/>
      <c r="P85" s="123"/>
      <c r="Q85" s="123"/>
      <c r="R85" s="130"/>
      <c r="S85" s="139"/>
      <c r="T85" s="123"/>
      <c r="U85" s="123"/>
      <c r="V85" s="123"/>
      <c r="W85" s="123"/>
    </row>
    <row r="86" spans="1:23" ht="18" x14ac:dyDescent="0.4">
      <c r="A86" s="141" t="s">
        <v>449</v>
      </c>
      <c r="B86" s="142">
        <v>320300</v>
      </c>
      <c r="C86" s="123">
        <v>0</v>
      </c>
      <c r="D86" s="123">
        <v>0</v>
      </c>
      <c r="E86" s="123">
        <v>0</v>
      </c>
      <c r="F86" s="123"/>
      <c r="G86" s="123">
        <v>0</v>
      </c>
      <c r="H86" s="123">
        <v>0</v>
      </c>
      <c r="I86" s="123">
        <v>0</v>
      </c>
      <c r="J86" s="130">
        <v>0</v>
      </c>
      <c r="K86" s="123"/>
      <c r="L86" s="123">
        <v>0</v>
      </c>
      <c r="M86" s="123">
        <v>0</v>
      </c>
      <c r="N86" s="123"/>
      <c r="O86" s="123">
        <v>0</v>
      </c>
      <c r="P86" s="123">
        <v>0</v>
      </c>
      <c r="Q86" s="123">
        <v>0</v>
      </c>
      <c r="R86" s="130">
        <v>0</v>
      </c>
      <c r="S86" s="139">
        <v>0</v>
      </c>
      <c r="T86" s="123">
        <v>0</v>
      </c>
      <c r="U86" s="123">
        <v>0</v>
      </c>
      <c r="V86" s="123">
        <v>0</v>
      </c>
      <c r="W86" s="123">
        <f t="shared" ref="W86" si="8">SUM(C86:V86)</f>
        <v>0</v>
      </c>
    </row>
    <row r="87" spans="1:23" ht="18" x14ac:dyDescent="0.4">
      <c r="A87" s="131" t="s">
        <v>450</v>
      </c>
      <c r="B87" s="156">
        <v>320300</v>
      </c>
      <c r="C87" s="130"/>
      <c r="D87" s="130"/>
      <c r="E87" s="130"/>
      <c r="F87" s="130"/>
      <c r="G87" s="130"/>
      <c r="H87" s="130"/>
      <c r="I87" s="130"/>
      <c r="J87" s="123">
        <v>0</v>
      </c>
      <c r="K87" s="123"/>
      <c r="L87" s="130">
        <v>0</v>
      </c>
      <c r="M87" s="130"/>
      <c r="N87" s="130"/>
      <c r="O87" s="130"/>
      <c r="P87" s="130"/>
      <c r="Q87" s="130">
        <v>0</v>
      </c>
      <c r="R87" s="130">
        <v>0</v>
      </c>
      <c r="S87" s="130">
        <v>0</v>
      </c>
      <c r="T87" s="130"/>
      <c r="U87" s="130"/>
      <c r="V87" s="130"/>
      <c r="W87" s="130"/>
    </row>
    <row r="88" spans="1:23" ht="18" x14ac:dyDescent="0.4">
      <c r="A88" s="131" t="s">
        <v>451</v>
      </c>
      <c r="B88" s="156"/>
      <c r="C88" s="130"/>
      <c r="D88" s="130"/>
      <c r="E88" s="130"/>
      <c r="F88" s="130"/>
      <c r="G88" s="130"/>
      <c r="H88" s="130"/>
      <c r="I88" s="130"/>
      <c r="J88" s="130"/>
      <c r="K88" s="130"/>
      <c r="L88" s="130">
        <v>0</v>
      </c>
      <c r="M88" s="130"/>
      <c r="N88" s="130"/>
      <c r="O88" s="130"/>
      <c r="P88" s="130"/>
      <c r="Q88" s="130"/>
      <c r="R88" s="130"/>
      <c r="S88" s="130">
        <v>0</v>
      </c>
      <c r="T88" s="123"/>
      <c r="U88" s="130">
        <v>0</v>
      </c>
      <c r="V88" s="130"/>
      <c r="W88" s="130"/>
    </row>
    <row r="89" spans="1:23" ht="18" x14ac:dyDescent="0.4">
      <c r="A89" s="164" t="s">
        <v>231</v>
      </c>
      <c r="B89" s="138">
        <v>320400</v>
      </c>
      <c r="C89" s="130">
        <v>0</v>
      </c>
      <c r="D89" s="149"/>
      <c r="E89" s="149"/>
      <c r="F89" s="149"/>
      <c r="G89" s="149">
        <v>0</v>
      </c>
      <c r="H89" s="130">
        <v>0</v>
      </c>
      <c r="I89" s="130">
        <v>0</v>
      </c>
      <c r="J89" s="130">
        <v>0</v>
      </c>
      <c r="K89" s="130"/>
      <c r="L89" s="130">
        <v>0</v>
      </c>
      <c r="M89" s="130">
        <v>0</v>
      </c>
      <c r="N89" s="149"/>
      <c r="O89" s="149"/>
      <c r="P89" s="130">
        <v>0</v>
      </c>
      <c r="Q89" s="130">
        <v>0</v>
      </c>
      <c r="R89" s="130"/>
      <c r="S89" s="130">
        <v>0</v>
      </c>
      <c r="T89" s="149">
        <v>0</v>
      </c>
      <c r="U89" s="149">
        <v>0</v>
      </c>
      <c r="V89" s="130"/>
      <c r="W89" s="130"/>
    </row>
    <row r="90" spans="1:23" ht="18" x14ac:dyDescent="0.4">
      <c r="A90" s="133" t="s">
        <v>189</v>
      </c>
      <c r="B90" s="134"/>
      <c r="C90" s="135">
        <f>SUM(C89:C89)</f>
        <v>0</v>
      </c>
      <c r="D90" s="135">
        <f t="shared" ref="D90:U90" si="9">SUM(D51:D89)</f>
        <v>0</v>
      </c>
      <c r="E90" s="135">
        <f t="shared" si="9"/>
        <v>0</v>
      </c>
      <c r="F90" s="135">
        <f t="shared" si="9"/>
        <v>0</v>
      </c>
      <c r="G90" s="135">
        <f t="shared" si="9"/>
        <v>0</v>
      </c>
      <c r="H90" s="135">
        <f t="shared" si="9"/>
        <v>0</v>
      </c>
      <c r="I90" s="135">
        <f t="shared" si="9"/>
        <v>0</v>
      </c>
      <c r="J90" s="135">
        <f t="shared" si="9"/>
        <v>0</v>
      </c>
      <c r="K90" s="135">
        <f t="shared" si="9"/>
        <v>35000</v>
      </c>
      <c r="L90" s="135">
        <f t="shared" si="9"/>
        <v>0</v>
      </c>
      <c r="M90" s="135">
        <f t="shared" si="9"/>
        <v>0</v>
      </c>
      <c r="N90" s="135">
        <f t="shared" si="9"/>
        <v>20000</v>
      </c>
      <c r="O90" s="135">
        <f t="shared" si="9"/>
        <v>30000</v>
      </c>
      <c r="P90" s="135">
        <f t="shared" si="9"/>
        <v>0</v>
      </c>
      <c r="Q90" s="135">
        <f t="shared" si="9"/>
        <v>0</v>
      </c>
      <c r="R90" s="135">
        <f t="shared" si="9"/>
        <v>0</v>
      </c>
      <c r="S90" s="135">
        <f t="shared" si="9"/>
        <v>560000</v>
      </c>
      <c r="T90" s="135">
        <f t="shared" si="9"/>
        <v>0</v>
      </c>
      <c r="U90" s="160">
        <f t="shared" si="9"/>
        <v>0</v>
      </c>
      <c r="V90" s="135">
        <v>30000</v>
      </c>
      <c r="W90" s="135">
        <f>SUM(C90:V90)</f>
        <v>675000</v>
      </c>
    </row>
    <row r="91" spans="1:23" s="100" customFormat="1" ht="23.25" x14ac:dyDescent="0.5">
      <c r="A91" s="904" t="s">
        <v>76</v>
      </c>
      <c r="B91" s="904"/>
      <c r="C91" s="904"/>
      <c r="D91" s="904"/>
      <c r="E91" s="904"/>
      <c r="F91" s="904"/>
      <c r="G91" s="904"/>
      <c r="H91" s="904"/>
      <c r="I91" s="904"/>
      <c r="J91" s="904"/>
      <c r="K91" s="904"/>
      <c r="L91" s="904"/>
      <c r="M91" s="904"/>
      <c r="N91" s="904"/>
      <c r="O91" s="904"/>
      <c r="P91" s="904"/>
      <c r="Q91" s="904"/>
      <c r="R91" s="904"/>
      <c r="S91" s="904"/>
      <c r="T91" s="904"/>
      <c r="U91" s="904"/>
      <c r="V91" s="904"/>
      <c r="W91" s="904"/>
    </row>
    <row r="92" spans="1:23" s="100" customFormat="1" ht="23.25" x14ac:dyDescent="0.5">
      <c r="A92" s="904" t="s">
        <v>109</v>
      </c>
      <c r="B92" s="904"/>
      <c r="C92" s="904"/>
      <c r="D92" s="904"/>
      <c r="E92" s="904"/>
      <c r="F92" s="904"/>
      <c r="G92" s="904"/>
      <c r="H92" s="904"/>
      <c r="I92" s="904"/>
      <c r="J92" s="904"/>
      <c r="K92" s="904"/>
      <c r="L92" s="904"/>
      <c r="M92" s="904"/>
      <c r="N92" s="904"/>
      <c r="O92" s="904"/>
      <c r="P92" s="904"/>
      <c r="Q92" s="904"/>
      <c r="R92" s="904"/>
      <c r="S92" s="904"/>
      <c r="T92" s="904"/>
      <c r="U92" s="904"/>
      <c r="V92" s="904"/>
      <c r="W92" s="904"/>
    </row>
    <row r="93" spans="1:23" s="100" customFormat="1" ht="23.25" x14ac:dyDescent="0.5">
      <c r="A93" s="904" t="s">
        <v>454</v>
      </c>
      <c r="B93" s="904"/>
      <c r="C93" s="904"/>
      <c r="D93" s="904"/>
      <c r="E93" s="904"/>
      <c r="F93" s="904"/>
      <c r="G93" s="904"/>
      <c r="H93" s="904"/>
      <c r="I93" s="904"/>
      <c r="J93" s="904"/>
      <c r="K93" s="904"/>
      <c r="L93" s="904"/>
      <c r="M93" s="904"/>
      <c r="N93" s="904"/>
      <c r="O93" s="904"/>
      <c r="P93" s="904"/>
      <c r="Q93" s="904"/>
      <c r="R93" s="904"/>
      <c r="S93" s="904"/>
      <c r="T93" s="904"/>
      <c r="U93" s="904"/>
      <c r="V93" s="904"/>
      <c r="W93" s="904"/>
    </row>
    <row r="94" spans="1:23" ht="18" x14ac:dyDescent="0.4">
      <c r="A94" s="101"/>
      <c r="B94" s="102"/>
      <c r="C94" s="103" t="s">
        <v>41</v>
      </c>
      <c r="D94" s="914" t="s">
        <v>110</v>
      </c>
      <c r="E94" s="915"/>
      <c r="F94" s="927" t="s">
        <v>111</v>
      </c>
      <c r="G94" s="928"/>
      <c r="H94" s="913" t="s">
        <v>112</v>
      </c>
      <c r="I94" s="916"/>
      <c r="J94" s="929" t="s">
        <v>113</v>
      </c>
      <c r="K94" s="930"/>
      <c r="L94" s="151" t="s">
        <v>113</v>
      </c>
      <c r="M94" s="927" t="s">
        <v>113</v>
      </c>
      <c r="N94" s="916"/>
      <c r="O94" s="913" t="s">
        <v>114</v>
      </c>
      <c r="P94" s="914"/>
      <c r="Q94" s="913" t="s">
        <v>115</v>
      </c>
      <c r="R94" s="914"/>
      <c r="S94" s="915"/>
      <c r="T94" s="913" t="s">
        <v>201</v>
      </c>
      <c r="U94" s="916"/>
      <c r="V94" s="151" t="s">
        <v>113</v>
      </c>
      <c r="W94" s="104"/>
    </row>
    <row r="95" spans="1:23" ht="18" x14ac:dyDescent="0.4">
      <c r="A95" s="105"/>
      <c r="B95" s="106"/>
      <c r="C95" s="107"/>
      <c r="D95" s="917"/>
      <c r="E95" s="918"/>
      <c r="F95" s="919" t="s">
        <v>117</v>
      </c>
      <c r="G95" s="920"/>
      <c r="H95" s="251"/>
      <c r="I95" s="215"/>
      <c r="J95" s="921" t="s">
        <v>118</v>
      </c>
      <c r="K95" s="922"/>
      <c r="L95" s="113" t="s">
        <v>119</v>
      </c>
      <c r="M95" s="919" t="s">
        <v>120</v>
      </c>
      <c r="N95" s="923"/>
      <c r="O95" s="214"/>
      <c r="P95" s="108"/>
      <c r="Q95" s="921" t="s">
        <v>121</v>
      </c>
      <c r="R95" s="924"/>
      <c r="S95" s="922"/>
      <c r="T95" s="921" t="s">
        <v>203</v>
      </c>
      <c r="U95" s="923"/>
      <c r="V95" s="252" t="s">
        <v>122</v>
      </c>
      <c r="W95" s="109"/>
    </row>
    <row r="96" spans="1:23" ht="18" x14ac:dyDescent="0.4">
      <c r="A96" s="105" t="s">
        <v>123</v>
      </c>
      <c r="B96" s="106"/>
      <c r="C96" s="110" t="s">
        <v>204</v>
      </c>
      <c r="D96" s="917" t="s">
        <v>205</v>
      </c>
      <c r="E96" s="918"/>
      <c r="F96" s="212"/>
      <c r="G96" s="254" t="s">
        <v>126</v>
      </c>
      <c r="H96" s="936" t="s">
        <v>127</v>
      </c>
      <c r="I96" s="926"/>
      <c r="J96" s="937" t="s">
        <v>128</v>
      </c>
      <c r="K96" s="938"/>
      <c r="L96" s="110"/>
      <c r="M96" s="939" t="s">
        <v>129</v>
      </c>
      <c r="N96" s="926"/>
      <c r="O96" s="936" t="s">
        <v>130</v>
      </c>
      <c r="P96" s="940"/>
      <c r="Q96" s="936" t="s">
        <v>131</v>
      </c>
      <c r="R96" s="940"/>
      <c r="S96" s="941"/>
      <c r="T96" s="936" t="s">
        <v>132</v>
      </c>
      <c r="U96" s="926"/>
      <c r="V96" s="213"/>
      <c r="W96" s="109"/>
    </row>
    <row r="97" spans="1:23" ht="18" x14ac:dyDescent="0.4">
      <c r="A97" s="111"/>
      <c r="B97" s="152"/>
      <c r="C97" s="103" t="s">
        <v>134</v>
      </c>
      <c r="D97" s="103" t="s">
        <v>135</v>
      </c>
      <c r="E97" s="103" t="s">
        <v>135</v>
      </c>
      <c r="F97" s="245" t="s">
        <v>136</v>
      </c>
      <c r="G97" s="245" t="s">
        <v>137</v>
      </c>
      <c r="H97" s="174" t="s">
        <v>228</v>
      </c>
      <c r="I97" s="103" t="s">
        <v>206</v>
      </c>
      <c r="J97" s="103" t="s">
        <v>140</v>
      </c>
      <c r="K97" s="103" t="s">
        <v>141</v>
      </c>
      <c r="L97" s="103" t="s">
        <v>142</v>
      </c>
      <c r="M97" s="174" t="s">
        <v>207</v>
      </c>
      <c r="N97" s="174" t="s">
        <v>442</v>
      </c>
      <c r="O97" s="103" t="s">
        <v>138</v>
      </c>
      <c r="P97" s="103" t="s">
        <v>144</v>
      </c>
      <c r="Q97" s="103" t="s">
        <v>145</v>
      </c>
      <c r="R97" s="113" t="s">
        <v>146</v>
      </c>
      <c r="S97" s="175" t="s">
        <v>147</v>
      </c>
      <c r="T97" s="114" t="s">
        <v>148</v>
      </c>
      <c r="U97" s="103" t="s">
        <v>149</v>
      </c>
      <c r="V97" s="103" t="s">
        <v>150</v>
      </c>
      <c r="W97" s="253" t="s">
        <v>151</v>
      </c>
    </row>
    <row r="98" spans="1:23" ht="18" x14ac:dyDescent="0.4">
      <c r="A98" s="105"/>
      <c r="B98" s="106"/>
      <c r="C98" s="113"/>
      <c r="D98" s="113" t="s">
        <v>152</v>
      </c>
      <c r="E98" s="113" t="s">
        <v>153</v>
      </c>
      <c r="F98" s="246" t="s">
        <v>154</v>
      </c>
      <c r="G98" s="246" t="s">
        <v>155</v>
      </c>
      <c r="H98" s="176" t="s">
        <v>229</v>
      </c>
      <c r="I98" s="113" t="s">
        <v>209</v>
      </c>
      <c r="J98" s="113" t="s">
        <v>158</v>
      </c>
      <c r="K98" s="113" t="s">
        <v>159</v>
      </c>
      <c r="L98" s="113" t="s">
        <v>160</v>
      </c>
      <c r="M98" s="176" t="s">
        <v>161</v>
      </c>
      <c r="N98" s="176" t="s">
        <v>443</v>
      </c>
      <c r="O98" s="113" t="s">
        <v>163</v>
      </c>
      <c r="P98" s="113" t="s">
        <v>164</v>
      </c>
      <c r="Q98" s="113" t="s">
        <v>165</v>
      </c>
      <c r="R98" s="113" t="s">
        <v>166</v>
      </c>
      <c r="S98" s="175" t="s">
        <v>167</v>
      </c>
      <c r="T98" s="114" t="s">
        <v>168</v>
      </c>
      <c r="U98" s="113" t="s">
        <v>169</v>
      </c>
      <c r="V98" s="113" t="s">
        <v>170</v>
      </c>
      <c r="W98" s="109"/>
    </row>
    <row r="99" spans="1:23" ht="18" x14ac:dyDescent="0.4">
      <c r="A99" s="115"/>
      <c r="B99" s="116"/>
      <c r="C99" s="110" t="s">
        <v>171</v>
      </c>
      <c r="D99" s="110" t="s">
        <v>172</v>
      </c>
      <c r="E99" s="110" t="s">
        <v>173</v>
      </c>
      <c r="F99" s="247" t="s">
        <v>174</v>
      </c>
      <c r="G99" s="247"/>
      <c r="H99" s="177"/>
      <c r="I99" s="110" t="s">
        <v>210</v>
      </c>
      <c r="J99" s="110"/>
      <c r="K99" s="117" t="s">
        <v>177</v>
      </c>
      <c r="L99" s="110"/>
      <c r="M99" s="177" t="s">
        <v>179</v>
      </c>
      <c r="N99" s="177" t="s">
        <v>444</v>
      </c>
      <c r="O99" s="110" t="s">
        <v>180</v>
      </c>
      <c r="P99" s="110" t="s">
        <v>181</v>
      </c>
      <c r="Q99" s="110" t="s">
        <v>182</v>
      </c>
      <c r="R99" s="117" t="s">
        <v>183</v>
      </c>
      <c r="S99" s="177" t="s">
        <v>184</v>
      </c>
      <c r="T99" s="110" t="s">
        <v>185</v>
      </c>
      <c r="U99" s="110" t="s">
        <v>186</v>
      </c>
      <c r="V99" s="110"/>
      <c r="W99" s="118"/>
    </row>
    <row r="100" spans="1:23" ht="21" x14ac:dyDescent="0.45">
      <c r="A100" s="137" t="s">
        <v>232</v>
      </c>
      <c r="B100" s="138"/>
      <c r="C100" s="123"/>
      <c r="D100" s="123"/>
      <c r="E100" s="123"/>
      <c r="F100" s="123"/>
      <c r="G100" s="139"/>
      <c r="H100" s="139"/>
      <c r="I100" s="123"/>
      <c r="J100" s="123"/>
      <c r="K100" s="123"/>
      <c r="L100" s="123"/>
      <c r="M100" s="139"/>
      <c r="N100" s="139"/>
      <c r="O100" s="123"/>
      <c r="P100" s="123"/>
      <c r="Q100" s="123"/>
      <c r="R100" s="123"/>
      <c r="S100" s="139"/>
      <c r="T100" s="123"/>
      <c r="U100" s="123"/>
      <c r="V100" s="123"/>
      <c r="W100" s="123"/>
    </row>
    <row r="101" spans="1:23" s="136" customFormat="1" ht="18" x14ac:dyDescent="0.4">
      <c r="A101" s="131" t="s">
        <v>419</v>
      </c>
      <c r="B101" s="132">
        <v>330100</v>
      </c>
      <c r="C101" s="130">
        <v>0</v>
      </c>
      <c r="D101" s="130"/>
      <c r="E101" s="130"/>
      <c r="F101" s="130"/>
      <c r="G101" s="130">
        <v>0</v>
      </c>
      <c r="H101" s="130"/>
      <c r="I101" s="130"/>
      <c r="J101" s="130">
        <v>0</v>
      </c>
      <c r="K101" s="130"/>
      <c r="L101" s="130">
        <v>0</v>
      </c>
      <c r="M101" s="130">
        <v>0</v>
      </c>
      <c r="N101" s="130"/>
      <c r="O101" s="130"/>
      <c r="P101" s="130">
        <v>0</v>
      </c>
      <c r="Q101" s="130">
        <v>0</v>
      </c>
      <c r="R101" s="130"/>
      <c r="S101" s="130">
        <v>0</v>
      </c>
      <c r="T101" s="130">
        <v>0</v>
      </c>
      <c r="U101" s="130">
        <v>0</v>
      </c>
      <c r="V101" s="130">
        <v>0</v>
      </c>
      <c r="W101" s="130">
        <f>SUM(C101:V101)</f>
        <v>0</v>
      </c>
    </row>
    <row r="102" spans="1:23" s="136" customFormat="1" ht="18" x14ac:dyDescent="0.4">
      <c r="A102" s="131" t="s">
        <v>420</v>
      </c>
      <c r="B102" s="132">
        <v>330200</v>
      </c>
      <c r="C102" s="130">
        <v>0</v>
      </c>
      <c r="D102" s="130"/>
      <c r="E102" s="130"/>
      <c r="F102" s="130"/>
      <c r="G102" s="130">
        <v>0</v>
      </c>
      <c r="H102" s="130"/>
      <c r="I102" s="130"/>
      <c r="J102" s="130">
        <v>0</v>
      </c>
      <c r="K102" s="130"/>
      <c r="L102" s="130">
        <v>0</v>
      </c>
      <c r="M102" s="130">
        <v>0</v>
      </c>
      <c r="N102" s="130"/>
      <c r="O102" s="130"/>
      <c r="P102" s="130">
        <v>0</v>
      </c>
      <c r="Q102" s="130">
        <v>0</v>
      </c>
      <c r="R102" s="130"/>
      <c r="S102" s="130">
        <v>0</v>
      </c>
      <c r="T102" s="130">
        <v>0</v>
      </c>
      <c r="U102" s="130">
        <v>0</v>
      </c>
      <c r="V102" s="130">
        <v>0</v>
      </c>
      <c r="W102" s="130">
        <f>SUM(C102:V102)</f>
        <v>0</v>
      </c>
    </row>
    <row r="103" spans="1:23" ht="18" x14ac:dyDescent="0.4">
      <c r="A103" s="131" t="s">
        <v>421</v>
      </c>
      <c r="B103" s="132">
        <v>330300</v>
      </c>
      <c r="C103" s="130">
        <v>0</v>
      </c>
      <c r="D103" s="130"/>
      <c r="E103" s="130"/>
      <c r="F103" s="130"/>
      <c r="G103" s="130">
        <v>0</v>
      </c>
      <c r="H103" s="130"/>
      <c r="I103" s="130"/>
      <c r="J103" s="130">
        <v>0</v>
      </c>
      <c r="K103" s="130"/>
      <c r="L103" s="130">
        <v>0</v>
      </c>
      <c r="M103" s="130">
        <v>0</v>
      </c>
      <c r="N103" s="130"/>
      <c r="O103" s="130"/>
      <c r="P103" s="130">
        <v>0</v>
      </c>
      <c r="Q103" s="130">
        <v>0</v>
      </c>
      <c r="R103" s="130"/>
      <c r="S103" s="130">
        <v>0</v>
      </c>
      <c r="T103" s="130">
        <v>0</v>
      </c>
      <c r="U103" s="130">
        <v>0</v>
      </c>
      <c r="V103" s="130">
        <v>0</v>
      </c>
      <c r="W103" s="130">
        <f>SUM(C103:V103)</f>
        <v>0</v>
      </c>
    </row>
    <row r="104" spans="1:23" ht="18" x14ac:dyDescent="0.4">
      <c r="A104" s="131" t="s">
        <v>233</v>
      </c>
      <c r="B104" s="132">
        <v>330400</v>
      </c>
      <c r="C104" s="130">
        <v>0</v>
      </c>
      <c r="D104" s="130"/>
      <c r="E104" s="130"/>
      <c r="F104" s="130"/>
      <c r="G104" s="130">
        <v>0</v>
      </c>
      <c r="H104" s="143"/>
      <c r="I104" s="130"/>
      <c r="J104" s="130">
        <v>0</v>
      </c>
      <c r="K104" s="130"/>
      <c r="L104" s="130">
        <v>0</v>
      </c>
      <c r="M104" s="130">
        <v>0</v>
      </c>
      <c r="N104" s="130"/>
      <c r="O104" s="130"/>
      <c r="P104" s="130">
        <v>0</v>
      </c>
      <c r="Q104" s="130">
        <v>0</v>
      </c>
      <c r="R104" s="130"/>
      <c r="S104" s="130">
        <v>0</v>
      </c>
      <c r="T104" s="130">
        <v>0</v>
      </c>
      <c r="U104" s="130">
        <v>0</v>
      </c>
      <c r="V104" s="130">
        <v>0</v>
      </c>
      <c r="W104" s="130">
        <f>SUM(C104:V104)</f>
        <v>0</v>
      </c>
    </row>
    <row r="105" spans="1:23" ht="18" x14ac:dyDescent="0.4">
      <c r="A105" s="131" t="s">
        <v>418</v>
      </c>
      <c r="B105" s="148">
        <v>330600</v>
      </c>
      <c r="C105" s="173">
        <v>0</v>
      </c>
      <c r="D105" s="130"/>
      <c r="E105" s="130"/>
      <c r="F105" s="130"/>
      <c r="G105" s="130">
        <v>0</v>
      </c>
      <c r="H105" s="130"/>
      <c r="I105" s="130">
        <v>0</v>
      </c>
      <c r="J105" s="173">
        <v>0</v>
      </c>
      <c r="K105" s="173"/>
      <c r="L105" s="173">
        <v>0</v>
      </c>
      <c r="M105" s="173">
        <v>0</v>
      </c>
      <c r="N105" s="173"/>
      <c r="O105" s="130"/>
      <c r="P105" s="130">
        <v>0</v>
      </c>
      <c r="Q105" s="130">
        <v>0</v>
      </c>
      <c r="R105" s="130"/>
      <c r="S105" s="130">
        <v>0</v>
      </c>
      <c r="T105" s="130">
        <v>0</v>
      </c>
      <c r="U105" s="130">
        <v>0</v>
      </c>
      <c r="V105" s="130">
        <v>0</v>
      </c>
      <c r="W105" s="130">
        <f>SUM(C105:V105)</f>
        <v>0</v>
      </c>
    </row>
    <row r="106" spans="1:23" ht="18" x14ac:dyDescent="0.4">
      <c r="A106" s="131" t="s">
        <v>422</v>
      </c>
      <c r="B106" s="132">
        <v>330700</v>
      </c>
      <c r="C106" s="149">
        <v>0</v>
      </c>
      <c r="D106" s="130"/>
      <c r="E106" s="130"/>
      <c r="F106" s="130"/>
      <c r="G106" s="130">
        <v>0</v>
      </c>
      <c r="H106" s="130">
        <v>0</v>
      </c>
      <c r="I106" s="130">
        <v>0</v>
      </c>
      <c r="J106" s="149">
        <v>0</v>
      </c>
      <c r="K106" s="149"/>
      <c r="L106" s="149">
        <v>0</v>
      </c>
      <c r="M106" s="149">
        <v>0</v>
      </c>
      <c r="N106" s="149"/>
      <c r="O106" s="130"/>
      <c r="P106" s="130">
        <v>0</v>
      </c>
      <c r="Q106" s="130">
        <v>0</v>
      </c>
      <c r="R106" s="130"/>
      <c r="S106" s="130">
        <v>0</v>
      </c>
      <c r="T106" s="130">
        <v>0</v>
      </c>
      <c r="U106" s="130">
        <v>0</v>
      </c>
      <c r="V106" s="130">
        <v>0</v>
      </c>
      <c r="W106" s="130">
        <f t="shared" ref="W106:W116" si="10">SUM(C106:V106)</f>
        <v>0</v>
      </c>
    </row>
    <row r="107" spans="1:23" s="170" customFormat="1" ht="18" x14ac:dyDescent="0.4">
      <c r="A107" s="141" t="s">
        <v>423</v>
      </c>
      <c r="B107" s="132">
        <v>330800</v>
      </c>
      <c r="C107" s="168">
        <v>0</v>
      </c>
      <c r="D107" s="130"/>
      <c r="E107" s="130"/>
      <c r="F107" s="130"/>
      <c r="G107" s="130">
        <v>0</v>
      </c>
      <c r="H107" s="130">
        <v>0</v>
      </c>
      <c r="I107" s="130">
        <v>0</v>
      </c>
      <c r="J107" s="168">
        <v>0</v>
      </c>
      <c r="K107" s="168"/>
      <c r="L107" s="168">
        <v>0</v>
      </c>
      <c r="M107" s="168">
        <v>0</v>
      </c>
      <c r="N107" s="130"/>
      <c r="O107" s="130"/>
      <c r="P107" s="130">
        <v>0</v>
      </c>
      <c r="Q107" s="130">
        <v>0</v>
      </c>
      <c r="R107" s="130">
        <v>0</v>
      </c>
      <c r="S107" s="130">
        <v>0</v>
      </c>
      <c r="T107" s="130">
        <v>0</v>
      </c>
      <c r="U107" s="130">
        <v>0</v>
      </c>
      <c r="V107" s="130">
        <v>0</v>
      </c>
      <c r="W107" s="130">
        <f t="shared" si="10"/>
        <v>0</v>
      </c>
    </row>
    <row r="108" spans="1:23" s="136" customFormat="1" ht="18" x14ac:dyDescent="0.4">
      <c r="A108" s="141" t="s">
        <v>424</v>
      </c>
      <c r="B108" s="142">
        <v>330900</v>
      </c>
      <c r="C108" s="123">
        <v>0</v>
      </c>
      <c r="D108" s="123"/>
      <c r="E108" s="123"/>
      <c r="F108" s="123"/>
      <c r="G108" s="123">
        <v>0</v>
      </c>
      <c r="H108" s="123">
        <v>0</v>
      </c>
      <c r="I108" s="123">
        <v>0</v>
      </c>
      <c r="J108" s="123">
        <v>0</v>
      </c>
      <c r="K108" s="123"/>
      <c r="L108" s="123">
        <v>0</v>
      </c>
      <c r="M108" s="139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f t="shared" si="10"/>
        <v>0</v>
      </c>
    </row>
    <row r="109" spans="1:23" s="136" customFormat="1" ht="18" x14ac:dyDescent="0.4">
      <c r="A109" s="131" t="s">
        <v>425</v>
      </c>
      <c r="B109" s="120">
        <v>331000</v>
      </c>
      <c r="C109" s="123">
        <v>0</v>
      </c>
      <c r="D109" s="123"/>
      <c r="E109" s="123"/>
      <c r="F109" s="123"/>
      <c r="G109" s="130">
        <v>0</v>
      </c>
      <c r="H109" s="123">
        <v>0</v>
      </c>
      <c r="I109" s="123">
        <v>0</v>
      </c>
      <c r="J109" s="123">
        <v>0</v>
      </c>
      <c r="K109" s="123"/>
      <c r="L109" s="123">
        <v>0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f t="shared" si="10"/>
        <v>0</v>
      </c>
    </row>
    <row r="110" spans="1:23" s="136" customFormat="1" ht="18" x14ac:dyDescent="0.4">
      <c r="A110" s="146" t="s">
        <v>297</v>
      </c>
      <c r="B110" s="132">
        <v>331100</v>
      </c>
      <c r="C110" s="130">
        <v>0</v>
      </c>
      <c r="D110" s="130"/>
      <c r="E110" s="130"/>
      <c r="F110" s="130"/>
      <c r="G110" s="130">
        <v>0</v>
      </c>
      <c r="H110" s="130">
        <v>0</v>
      </c>
      <c r="I110" s="130">
        <v>0</v>
      </c>
      <c r="J110" s="130">
        <v>0</v>
      </c>
      <c r="K110" s="130"/>
      <c r="L110" s="130">
        <v>0</v>
      </c>
      <c r="M110" s="130">
        <v>0</v>
      </c>
      <c r="N110" s="130">
        <v>0</v>
      </c>
      <c r="O110" s="130">
        <v>0</v>
      </c>
      <c r="P110" s="130">
        <v>0</v>
      </c>
      <c r="Q110" s="130">
        <v>0</v>
      </c>
      <c r="R110" s="130">
        <v>0</v>
      </c>
      <c r="S110" s="130">
        <v>0</v>
      </c>
      <c r="T110" s="130">
        <v>0</v>
      </c>
      <c r="U110" s="130">
        <v>0</v>
      </c>
      <c r="V110" s="130">
        <v>0</v>
      </c>
      <c r="W110" s="130">
        <f t="shared" si="10"/>
        <v>0</v>
      </c>
    </row>
    <row r="111" spans="1:23" ht="18" x14ac:dyDescent="0.4">
      <c r="A111" s="146" t="s">
        <v>298</v>
      </c>
      <c r="B111" s="148">
        <v>331200</v>
      </c>
      <c r="C111" s="149">
        <v>0</v>
      </c>
      <c r="D111" s="149"/>
      <c r="E111" s="149"/>
      <c r="F111" s="149"/>
      <c r="G111" s="130">
        <v>0</v>
      </c>
      <c r="H111" s="149">
        <v>0</v>
      </c>
      <c r="I111" s="149">
        <v>0</v>
      </c>
      <c r="J111" s="149">
        <v>0</v>
      </c>
      <c r="K111" s="149"/>
      <c r="L111" s="149">
        <v>0</v>
      </c>
      <c r="M111" s="149">
        <v>0</v>
      </c>
      <c r="N111" s="149">
        <v>0</v>
      </c>
      <c r="O111" s="149">
        <v>0</v>
      </c>
      <c r="P111" s="149">
        <v>0</v>
      </c>
      <c r="Q111" s="149"/>
      <c r="R111" s="149">
        <v>0</v>
      </c>
      <c r="S111" s="149">
        <v>0</v>
      </c>
      <c r="T111" s="149">
        <v>0</v>
      </c>
      <c r="U111" s="149">
        <v>0</v>
      </c>
      <c r="V111" s="149">
        <v>0</v>
      </c>
      <c r="W111" s="130">
        <f t="shared" si="10"/>
        <v>0</v>
      </c>
    </row>
    <row r="112" spans="1:23" ht="18" x14ac:dyDescent="0.4">
      <c r="A112" s="146" t="s">
        <v>299</v>
      </c>
      <c r="B112" s="148">
        <v>331300</v>
      </c>
      <c r="C112" s="149">
        <v>0</v>
      </c>
      <c r="D112" s="149"/>
      <c r="E112" s="149"/>
      <c r="F112" s="149"/>
      <c r="G112" s="130"/>
      <c r="H112" s="149"/>
      <c r="I112" s="149">
        <v>0</v>
      </c>
      <c r="J112" s="149">
        <v>0</v>
      </c>
      <c r="K112" s="149"/>
      <c r="L112" s="149">
        <v>0</v>
      </c>
      <c r="M112" s="149">
        <v>0</v>
      </c>
      <c r="N112" s="149">
        <v>0</v>
      </c>
      <c r="O112" s="149"/>
      <c r="P112" s="149">
        <v>0</v>
      </c>
      <c r="Q112" s="149">
        <v>0</v>
      </c>
      <c r="R112" s="149">
        <v>0</v>
      </c>
      <c r="S112" s="149">
        <v>0</v>
      </c>
      <c r="T112" s="149">
        <v>0</v>
      </c>
      <c r="U112" s="149">
        <v>0</v>
      </c>
      <c r="V112" s="149">
        <v>0</v>
      </c>
      <c r="W112" s="130">
        <f t="shared" si="10"/>
        <v>0</v>
      </c>
    </row>
    <row r="113" spans="1:23" ht="18" x14ac:dyDescent="0.4">
      <c r="A113" s="146" t="s">
        <v>426</v>
      </c>
      <c r="B113" s="148">
        <v>331400</v>
      </c>
      <c r="C113" s="149">
        <v>0</v>
      </c>
      <c r="D113" s="149"/>
      <c r="E113" s="149"/>
      <c r="F113" s="149">
        <v>0</v>
      </c>
      <c r="G113" s="130"/>
      <c r="H113" s="149"/>
      <c r="I113" s="149">
        <v>0</v>
      </c>
      <c r="J113" s="149">
        <v>0</v>
      </c>
      <c r="K113" s="149"/>
      <c r="L113" s="149">
        <v>0</v>
      </c>
      <c r="M113" s="149">
        <v>0</v>
      </c>
      <c r="N113" s="149">
        <v>0</v>
      </c>
      <c r="O113" s="149"/>
      <c r="P113" s="149">
        <v>0</v>
      </c>
      <c r="Q113" s="149">
        <v>0</v>
      </c>
      <c r="R113" s="149">
        <v>0</v>
      </c>
      <c r="S113" s="149">
        <v>0</v>
      </c>
      <c r="T113" s="149">
        <v>0</v>
      </c>
      <c r="U113" s="149">
        <v>0</v>
      </c>
      <c r="V113" s="149">
        <v>0</v>
      </c>
      <c r="W113" s="130">
        <f t="shared" si="10"/>
        <v>0</v>
      </c>
    </row>
    <row r="114" spans="1:23" ht="18" x14ac:dyDescent="0.4">
      <c r="A114" s="146" t="s">
        <v>427</v>
      </c>
      <c r="B114" s="148">
        <v>331500</v>
      </c>
      <c r="C114" s="149">
        <v>0</v>
      </c>
      <c r="D114" s="149"/>
      <c r="E114" s="149"/>
      <c r="F114" s="149"/>
      <c r="G114" s="130"/>
      <c r="H114" s="149"/>
      <c r="I114" s="149">
        <v>0</v>
      </c>
      <c r="J114" s="149">
        <v>0</v>
      </c>
      <c r="K114" s="149"/>
      <c r="L114" s="149">
        <v>0</v>
      </c>
      <c r="M114" s="149">
        <v>0</v>
      </c>
      <c r="N114" s="149">
        <v>0</v>
      </c>
      <c r="O114" s="149"/>
      <c r="P114" s="149">
        <v>0</v>
      </c>
      <c r="Q114" s="149">
        <v>0</v>
      </c>
      <c r="R114" s="149">
        <v>0</v>
      </c>
      <c r="S114" s="149">
        <v>0</v>
      </c>
      <c r="T114" s="149">
        <v>0</v>
      </c>
      <c r="U114" s="149">
        <v>0</v>
      </c>
      <c r="V114" s="149">
        <v>0</v>
      </c>
      <c r="W114" s="130">
        <f t="shared" si="10"/>
        <v>0</v>
      </c>
    </row>
    <row r="115" spans="1:23" ht="18" x14ac:dyDescent="0.4">
      <c r="A115" s="146" t="s">
        <v>300</v>
      </c>
      <c r="B115" s="148">
        <v>331600</v>
      </c>
      <c r="C115" s="149">
        <v>0</v>
      </c>
      <c r="D115" s="149">
        <v>0</v>
      </c>
      <c r="E115" s="149">
        <v>0</v>
      </c>
      <c r="F115" s="149"/>
      <c r="G115" s="150"/>
      <c r="H115" s="149"/>
      <c r="I115" s="149">
        <v>0</v>
      </c>
      <c r="J115" s="149">
        <v>0</v>
      </c>
      <c r="K115" s="149"/>
      <c r="L115" s="149">
        <v>0</v>
      </c>
      <c r="M115" s="149">
        <v>0</v>
      </c>
      <c r="N115" s="149">
        <v>0</v>
      </c>
      <c r="O115" s="149">
        <v>0</v>
      </c>
      <c r="P115" s="149">
        <v>0</v>
      </c>
      <c r="Q115" s="149">
        <v>0</v>
      </c>
      <c r="R115" s="149">
        <v>0</v>
      </c>
      <c r="S115" s="149">
        <v>0</v>
      </c>
      <c r="T115" s="149">
        <v>0</v>
      </c>
      <c r="U115" s="149">
        <v>0</v>
      </c>
      <c r="V115" s="149"/>
      <c r="W115" s="130"/>
    </row>
    <row r="116" spans="1:23" ht="18" x14ac:dyDescent="0.4">
      <c r="A116" s="133" t="s">
        <v>189</v>
      </c>
      <c r="B116" s="134"/>
      <c r="C116" s="135">
        <v>0</v>
      </c>
      <c r="D116" s="135">
        <f t="shared" ref="D116:J116" si="11">SUM(D101:D115)</f>
        <v>0</v>
      </c>
      <c r="E116" s="135">
        <f t="shared" si="11"/>
        <v>0</v>
      </c>
      <c r="F116" s="135">
        <f t="shared" si="11"/>
        <v>0</v>
      </c>
      <c r="G116" s="178">
        <f>SUM(G101:G115)</f>
        <v>0</v>
      </c>
      <c r="H116" s="178">
        <f t="shared" si="11"/>
        <v>0</v>
      </c>
      <c r="I116" s="135">
        <f t="shared" si="11"/>
        <v>0</v>
      </c>
      <c r="J116" s="135">
        <f t="shared" si="11"/>
        <v>0</v>
      </c>
      <c r="K116" s="135"/>
      <c r="L116" s="135">
        <f t="shared" ref="L116:Q116" si="12">SUM(L101:L115)</f>
        <v>0</v>
      </c>
      <c r="M116" s="178">
        <f t="shared" si="12"/>
        <v>0</v>
      </c>
      <c r="N116" s="135">
        <f t="shared" si="12"/>
        <v>0</v>
      </c>
      <c r="O116" s="135">
        <f t="shared" si="12"/>
        <v>0</v>
      </c>
      <c r="P116" s="135">
        <f t="shared" si="12"/>
        <v>0</v>
      </c>
      <c r="Q116" s="135">
        <f t="shared" si="12"/>
        <v>0</v>
      </c>
      <c r="R116" s="135"/>
      <c r="S116" s="135">
        <f>SUM(S101:S115)</f>
        <v>0</v>
      </c>
      <c r="T116" s="135">
        <f>SUM(T101:T115)</f>
        <v>0</v>
      </c>
      <c r="U116" s="178">
        <f>SUM(U101:U115)</f>
        <v>0</v>
      </c>
      <c r="V116" s="135">
        <f>SUM(V101:V115)</f>
        <v>0</v>
      </c>
      <c r="W116" s="135">
        <f t="shared" si="10"/>
        <v>0</v>
      </c>
    </row>
    <row r="117" spans="1:23" ht="21" x14ac:dyDescent="0.45">
      <c r="A117" s="162" t="s">
        <v>54</v>
      </c>
      <c r="B117" s="120"/>
      <c r="C117" s="123"/>
      <c r="D117" s="123"/>
      <c r="E117" s="123"/>
      <c r="F117" s="123"/>
      <c r="G117" s="139"/>
      <c r="H117" s="139"/>
      <c r="I117" s="123"/>
      <c r="J117" s="123"/>
      <c r="K117" s="123"/>
      <c r="L117" s="123"/>
      <c r="M117" s="139"/>
      <c r="N117" s="139"/>
      <c r="O117" s="123"/>
      <c r="P117" s="123"/>
      <c r="Q117" s="123"/>
      <c r="R117" s="123"/>
      <c r="S117" s="139"/>
      <c r="T117" s="123"/>
      <c r="U117" s="123"/>
      <c r="V117" s="123"/>
      <c r="W117" s="123"/>
    </row>
    <row r="118" spans="1:23" ht="18" x14ac:dyDescent="0.4">
      <c r="A118" s="179" t="s">
        <v>234</v>
      </c>
      <c r="B118" s="156">
        <v>340100</v>
      </c>
      <c r="C118" s="130">
        <v>0</v>
      </c>
      <c r="D118" s="130"/>
      <c r="E118" s="130"/>
      <c r="F118" s="130"/>
      <c r="G118" s="130">
        <v>0</v>
      </c>
      <c r="H118" s="168" t="s">
        <v>230</v>
      </c>
      <c r="I118" s="168" t="s">
        <v>230</v>
      </c>
      <c r="J118" s="168" t="s">
        <v>230</v>
      </c>
      <c r="K118" s="168"/>
      <c r="L118" s="168" t="s">
        <v>230</v>
      </c>
      <c r="M118" s="168" t="s">
        <v>230</v>
      </c>
      <c r="N118" s="168"/>
      <c r="O118" s="168" t="s">
        <v>230</v>
      </c>
      <c r="P118" s="168" t="s">
        <v>230</v>
      </c>
      <c r="Q118" s="168" t="s">
        <v>230</v>
      </c>
      <c r="R118" s="168" t="s">
        <v>230</v>
      </c>
      <c r="S118" s="168" t="s">
        <v>230</v>
      </c>
      <c r="T118" s="168" t="s">
        <v>230</v>
      </c>
      <c r="U118" s="168" t="s">
        <v>230</v>
      </c>
      <c r="V118" s="168"/>
      <c r="W118" s="130"/>
    </row>
    <row r="119" spans="1:23" ht="18" x14ac:dyDescent="0.4">
      <c r="A119" s="179" t="s">
        <v>330</v>
      </c>
      <c r="B119" s="148">
        <v>340300</v>
      </c>
      <c r="C119" s="149">
        <v>0</v>
      </c>
      <c r="D119" s="149"/>
      <c r="E119" s="130"/>
      <c r="F119" s="130"/>
      <c r="G119" s="130">
        <v>0</v>
      </c>
      <c r="H119" s="168" t="s">
        <v>230</v>
      </c>
      <c r="I119" s="168" t="s">
        <v>230</v>
      </c>
      <c r="J119" s="168" t="s">
        <v>230</v>
      </c>
      <c r="K119" s="168"/>
      <c r="L119" s="168" t="s">
        <v>230</v>
      </c>
      <c r="M119" s="168" t="s">
        <v>230</v>
      </c>
      <c r="N119" s="168"/>
      <c r="O119" s="168" t="s">
        <v>230</v>
      </c>
      <c r="P119" s="168" t="s">
        <v>230</v>
      </c>
      <c r="Q119" s="168" t="s">
        <v>230</v>
      </c>
      <c r="R119" s="168" t="s">
        <v>230</v>
      </c>
      <c r="S119" s="168" t="s">
        <v>230</v>
      </c>
      <c r="T119" s="168" t="s">
        <v>230</v>
      </c>
      <c r="U119" s="168" t="s">
        <v>230</v>
      </c>
      <c r="V119" s="168" t="s">
        <v>230</v>
      </c>
      <c r="W119" s="130">
        <f>SUM(C119:V119)</f>
        <v>0</v>
      </c>
    </row>
    <row r="120" spans="1:23" ht="18" x14ac:dyDescent="0.4">
      <c r="A120" s="131" t="s">
        <v>235</v>
      </c>
      <c r="B120" s="132">
        <v>340400</v>
      </c>
      <c r="C120" s="130">
        <v>0</v>
      </c>
      <c r="D120" s="130"/>
      <c r="E120" s="130"/>
      <c r="F120" s="130"/>
      <c r="G120" s="130">
        <v>0</v>
      </c>
      <c r="H120" s="168" t="s">
        <v>230</v>
      </c>
      <c r="I120" s="168" t="s">
        <v>230</v>
      </c>
      <c r="J120" s="168" t="s">
        <v>230</v>
      </c>
      <c r="K120" s="168"/>
      <c r="L120" s="168" t="s">
        <v>230</v>
      </c>
      <c r="M120" s="168" t="s">
        <v>230</v>
      </c>
      <c r="N120" s="168"/>
      <c r="O120" s="168" t="s">
        <v>230</v>
      </c>
      <c r="P120" s="168" t="s">
        <v>230</v>
      </c>
      <c r="Q120" s="168" t="s">
        <v>230</v>
      </c>
      <c r="R120" s="168" t="s">
        <v>230</v>
      </c>
      <c r="S120" s="168" t="s">
        <v>230</v>
      </c>
      <c r="T120" s="168" t="s">
        <v>230</v>
      </c>
      <c r="U120" s="168" t="s">
        <v>230</v>
      </c>
      <c r="V120" s="168" t="s">
        <v>230</v>
      </c>
      <c r="W120" s="130">
        <f>SUM(C120:V120)</f>
        <v>0</v>
      </c>
    </row>
    <row r="121" spans="1:23" ht="18" x14ac:dyDescent="0.4">
      <c r="A121" s="180" t="s">
        <v>236</v>
      </c>
      <c r="B121" s="138">
        <v>340500</v>
      </c>
      <c r="C121" s="124">
        <v>0</v>
      </c>
      <c r="D121" s="124"/>
      <c r="E121" s="130">
        <v>0</v>
      </c>
      <c r="F121" s="130"/>
      <c r="G121" s="130">
        <v>0</v>
      </c>
      <c r="H121" s="168" t="s">
        <v>230</v>
      </c>
      <c r="I121" s="168" t="s">
        <v>230</v>
      </c>
      <c r="J121" s="168" t="s">
        <v>230</v>
      </c>
      <c r="K121" s="168"/>
      <c r="L121" s="168" t="s">
        <v>230</v>
      </c>
      <c r="M121" s="168" t="s">
        <v>230</v>
      </c>
      <c r="N121" s="168"/>
      <c r="O121" s="168" t="s">
        <v>230</v>
      </c>
      <c r="P121" s="168" t="s">
        <v>230</v>
      </c>
      <c r="Q121" s="168" t="s">
        <v>230</v>
      </c>
      <c r="R121" s="168" t="s">
        <v>230</v>
      </c>
      <c r="S121" s="168" t="s">
        <v>230</v>
      </c>
      <c r="T121" s="168" t="s">
        <v>230</v>
      </c>
      <c r="U121" s="168" t="s">
        <v>230</v>
      </c>
      <c r="V121" s="168" t="s">
        <v>230</v>
      </c>
      <c r="W121" s="130">
        <f>SUM(C121:V121)</f>
        <v>0</v>
      </c>
    </row>
    <row r="122" spans="1:23" ht="18" x14ac:dyDescent="0.4">
      <c r="A122" s="180" t="s">
        <v>237</v>
      </c>
      <c r="B122" s="138">
        <v>340500</v>
      </c>
      <c r="C122" s="124">
        <v>0</v>
      </c>
      <c r="D122" s="124">
        <v>0</v>
      </c>
      <c r="E122" s="130">
        <v>0</v>
      </c>
      <c r="F122" s="130"/>
      <c r="G122" s="130">
        <v>0</v>
      </c>
      <c r="H122" s="168" t="s">
        <v>230</v>
      </c>
      <c r="I122" s="168" t="s">
        <v>230</v>
      </c>
      <c r="J122" s="168" t="s">
        <v>230</v>
      </c>
      <c r="K122" s="168"/>
      <c r="L122" s="168" t="s">
        <v>230</v>
      </c>
      <c r="M122" s="168" t="s">
        <v>230</v>
      </c>
      <c r="N122" s="168"/>
      <c r="O122" s="168" t="s">
        <v>230</v>
      </c>
      <c r="P122" s="168" t="s">
        <v>230</v>
      </c>
      <c r="Q122" s="168" t="s">
        <v>230</v>
      </c>
      <c r="R122" s="168" t="s">
        <v>230</v>
      </c>
      <c r="S122" s="168" t="s">
        <v>230</v>
      </c>
      <c r="T122" s="168" t="s">
        <v>230</v>
      </c>
      <c r="U122" s="168" t="s">
        <v>230</v>
      </c>
      <c r="V122" s="168"/>
      <c r="W122" s="130"/>
    </row>
    <row r="123" spans="1:23" ht="18" x14ac:dyDescent="0.4">
      <c r="A123" s="133" t="s">
        <v>189</v>
      </c>
      <c r="B123" s="134"/>
      <c r="C123" s="135">
        <v>0</v>
      </c>
      <c r="D123" s="135">
        <f>SUM(D118:D122)</f>
        <v>0</v>
      </c>
      <c r="E123" s="135">
        <f t="shared" ref="E123:S123" si="13">SUM(E119:E122)</f>
        <v>0</v>
      </c>
      <c r="F123" s="135"/>
      <c r="G123" s="135">
        <f t="shared" si="13"/>
        <v>0</v>
      </c>
      <c r="H123" s="135">
        <f t="shared" si="13"/>
        <v>0</v>
      </c>
      <c r="I123" s="135">
        <f t="shared" si="13"/>
        <v>0</v>
      </c>
      <c r="J123" s="135">
        <f t="shared" si="13"/>
        <v>0</v>
      </c>
      <c r="K123" s="135"/>
      <c r="L123" s="135">
        <f t="shared" si="13"/>
        <v>0</v>
      </c>
      <c r="M123" s="135">
        <f t="shared" si="13"/>
        <v>0</v>
      </c>
      <c r="N123" s="135"/>
      <c r="O123" s="135">
        <f t="shared" si="13"/>
        <v>0</v>
      </c>
      <c r="P123" s="135">
        <f t="shared" si="13"/>
        <v>0</v>
      </c>
      <c r="Q123" s="135">
        <f t="shared" si="13"/>
        <v>0</v>
      </c>
      <c r="R123" s="135"/>
      <c r="S123" s="135">
        <f t="shared" si="13"/>
        <v>0</v>
      </c>
      <c r="T123" s="135">
        <f>SUM(T119:T122)</f>
        <v>0</v>
      </c>
      <c r="U123" s="135">
        <f>SUM(U119:U122)</f>
        <v>0</v>
      </c>
      <c r="V123" s="135">
        <f>SUM(V118:V122)</f>
        <v>0</v>
      </c>
      <c r="W123" s="135">
        <f>SUM(W118:W122)</f>
        <v>0</v>
      </c>
    </row>
    <row r="124" spans="1:23" ht="18" x14ac:dyDescent="0.4">
      <c r="A124" s="181" t="s">
        <v>238</v>
      </c>
      <c r="B124" s="182"/>
      <c r="C124" s="183"/>
      <c r="D124" s="183"/>
      <c r="E124" s="183"/>
      <c r="F124" s="183"/>
      <c r="G124" s="184"/>
      <c r="H124" s="184"/>
      <c r="I124" s="183"/>
      <c r="J124" s="183"/>
      <c r="K124" s="183"/>
      <c r="L124" s="183"/>
      <c r="M124" s="184"/>
      <c r="N124" s="184"/>
      <c r="O124" s="183"/>
      <c r="P124" s="183"/>
      <c r="Q124" s="183"/>
      <c r="R124" s="183"/>
      <c r="S124" s="184"/>
      <c r="T124" s="183"/>
      <c r="U124" s="183"/>
      <c r="V124" s="183"/>
      <c r="W124" s="109"/>
    </row>
    <row r="125" spans="1:23" ht="18" x14ac:dyDescent="0.4">
      <c r="A125" s="185" t="s">
        <v>239</v>
      </c>
      <c r="B125" s="186"/>
      <c r="C125" s="187"/>
      <c r="D125" s="187"/>
      <c r="E125" s="187"/>
      <c r="F125" s="187"/>
      <c r="G125" s="188"/>
      <c r="H125" s="188"/>
      <c r="I125" s="187"/>
      <c r="J125" s="187"/>
      <c r="K125" s="187"/>
      <c r="L125" s="187"/>
      <c r="M125" s="188"/>
      <c r="N125" s="188"/>
      <c r="O125" s="187"/>
      <c r="P125" s="187"/>
      <c r="Q125" s="187"/>
      <c r="R125" s="187"/>
      <c r="S125" s="188"/>
      <c r="T125" s="187"/>
      <c r="U125" s="187"/>
      <c r="V125" s="187"/>
      <c r="W125" s="130">
        <f t="shared" ref="W125:W135" si="14">SUM(C125:V125)</f>
        <v>0</v>
      </c>
    </row>
    <row r="126" spans="1:23" ht="18" x14ac:dyDescent="0.4">
      <c r="A126" s="189" t="s">
        <v>240</v>
      </c>
      <c r="B126" s="132">
        <v>610200</v>
      </c>
      <c r="C126" s="130">
        <v>0</v>
      </c>
      <c r="D126" s="190" t="s">
        <v>230</v>
      </c>
      <c r="E126" s="190" t="s">
        <v>230</v>
      </c>
      <c r="F126" s="190"/>
      <c r="G126" s="130">
        <v>0</v>
      </c>
      <c r="H126" s="388"/>
      <c r="I126" s="130">
        <v>0</v>
      </c>
      <c r="J126" s="130">
        <v>0</v>
      </c>
      <c r="K126" s="130"/>
      <c r="L126" s="130">
        <v>0</v>
      </c>
      <c r="M126" s="130">
        <v>0</v>
      </c>
      <c r="N126" s="190" t="s">
        <v>230</v>
      </c>
      <c r="O126" s="190" t="s">
        <v>230</v>
      </c>
      <c r="P126" s="190" t="s">
        <v>230</v>
      </c>
      <c r="Q126" s="190" t="s">
        <v>230</v>
      </c>
      <c r="R126" s="190" t="s">
        <v>230</v>
      </c>
      <c r="S126" s="188"/>
      <c r="T126" s="190" t="s">
        <v>230</v>
      </c>
      <c r="U126" s="190" t="s">
        <v>230</v>
      </c>
      <c r="V126" s="190" t="s">
        <v>230</v>
      </c>
      <c r="W126" s="130">
        <f t="shared" si="14"/>
        <v>0</v>
      </c>
    </row>
    <row r="127" spans="1:23" ht="18" x14ac:dyDescent="0.4">
      <c r="A127" s="189" t="s">
        <v>241</v>
      </c>
      <c r="B127" s="186"/>
      <c r="C127" s="149">
        <v>0</v>
      </c>
      <c r="D127" s="190" t="s">
        <v>230</v>
      </c>
      <c r="E127" s="190" t="s">
        <v>230</v>
      </c>
      <c r="F127" s="190"/>
      <c r="G127" s="130">
        <v>0</v>
      </c>
      <c r="H127" s="130"/>
      <c r="I127" s="130">
        <v>0</v>
      </c>
      <c r="J127" s="130">
        <v>0</v>
      </c>
      <c r="K127" s="130"/>
      <c r="L127" s="130">
        <v>0</v>
      </c>
      <c r="M127" s="130">
        <v>0</v>
      </c>
      <c r="N127" s="190" t="s">
        <v>230</v>
      </c>
      <c r="O127" s="190" t="s">
        <v>230</v>
      </c>
      <c r="P127" s="190" t="s">
        <v>230</v>
      </c>
      <c r="Q127" s="190" t="s">
        <v>230</v>
      </c>
      <c r="R127" s="190" t="s">
        <v>230</v>
      </c>
      <c r="S127" s="188">
        <v>0</v>
      </c>
      <c r="T127" s="190" t="s">
        <v>230</v>
      </c>
      <c r="U127" s="190" t="s">
        <v>230</v>
      </c>
      <c r="V127" s="190" t="s">
        <v>230</v>
      </c>
      <c r="W127" s="130">
        <f t="shared" si="14"/>
        <v>0</v>
      </c>
    </row>
    <row r="128" spans="1:23" ht="18" x14ac:dyDescent="0.4">
      <c r="A128" s="189" t="s">
        <v>242</v>
      </c>
      <c r="B128" s="186"/>
      <c r="C128" s="130">
        <v>0</v>
      </c>
      <c r="D128" s="190" t="s">
        <v>230</v>
      </c>
      <c r="E128" s="190" t="s">
        <v>230</v>
      </c>
      <c r="F128" s="190"/>
      <c r="G128" s="130">
        <v>0</v>
      </c>
      <c r="H128" s="130"/>
      <c r="I128" s="130">
        <v>0</v>
      </c>
      <c r="J128" s="130">
        <v>0</v>
      </c>
      <c r="K128" s="130"/>
      <c r="L128" s="130">
        <v>0</v>
      </c>
      <c r="M128" s="130">
        <v>0</v>
      </c>
      <c r="N128" s="190" t="s">
        <v>230</v>
      </c>
      <c r="O128" s="190" t="s">
        <v>230</v>
      </c>
      <c r="P128" s="190" t="s">
        <v>230</v>
      </c>
      <c r="Q128" s="190" t="s">
        <v>230</v>
      </c>
      <c r="R128" s="190" t="s">
        <v>230</v>
      </c>
      <c r="S128" s="188">
        <v>0</v>
      </c>
      <c r="T128" s="190" t="s">
        <v>230</v>
      </c>
      <c r="U128" s="190" t="s">
        <v>230</v>
      </c>
      <c r="V128" s="190" t="s">
        <v>230</v>
      </c>
      <c r="W128" s="130">
        <f>SUM(C128:V128)</f>
        <v>0</v>
      </c>
    </row>
    <row r="129" spans="1:23" ht="18" x14ac:dyDescent="0.4">
      <c r="A129" s="189" t="s">
        <v>243</v>
      </c>
      <c r="B129" s="186"/>
      <c r="C129" s="130">
        <v>0</v>
      </c>
      <c r="D129" s="190"/>
      <c r="E129" s="190"/>
      <c r="F129" s="190"/>
      <c r="G129" s="130"/>
      <c r="H129" s="130"/>
      <c r="I129" s="130"/>
      <c r="J129" s="130"/>
      <c r="K129" s="130"/>
      <c r="L129" s="130"/>
      <c r="M129" s="130"/>
      <c r="N129" s="190"/>
      <c r="O129" s="190"/>
      <c r="P129" s="190"/>
      <c r="Q129" s="190"/>
      <c r="R129" s="190" t="s">
        <v>230</v>
      </c>
      <c r="S129" s="188"/>
      <c r="T129" s="190"/>
      <c r="U129" s="190"/>
      <c r="V129" s="190"/>
      <c r="W129" s="130">
        <f t="shared" si="14"/>
        <v>0</v>
      </c>
    </row>
    <row r="130" spans="1:23" ht="18" x14ac:dyDescent="0.4">
      <c r="A130" s="189" t="s">
        <v>244</v>
      </c>
      <c r="B130" s="186"/>
      <c r="C130" s="130">
        <v>0</v>
      </c>
      <c r="D130" s="190"/>
      <c r="E130" s="190"/>
      <c r="F130" s="190"/>
      <c r="G130" s="130"/>
      <c r="H130" s="130"/>
      <c r="I130" s="130"/>
      <c r="J130" s="130"/>
      <c r="K130" s="130"/>
      <c r="L130" s="130"/>
      <c r="M130" s="130"/>
      <c r="N130" s="190"/>
      <c r="O130" s="190"/>
      <c r="P130" s="190"/>
      <c r="Q130" s="190"/>
      <c r="R130" s="190" t="s">
        <v>230</v>
      </c>
      <c r="S130" s="188"/>
      <c r="T130" s="190"/>
      <c r="U130" s="190"/>
      <c r="V130" s="190"/>
      <c r="W130" s="130">
        <f t="shared" si="14"/>
        <v>0</v>
      </c>
    </row>
    <row r="131" spans="1:23" ht="18" x14ac:dyDescent="0.4">
      <c r="A131" s="189" t="s">
        <v>412</v>
      </c>
      <c r="B131" s="186"/>
      <c r="C131" s="130">
        <v>0</v>
      </c>
      <c r="D131" s="124"/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24">
        <v>0</v>
      </c>
      <c r="Q131" s="124">
        <v>0</v>
      </c>
      <c r="R131" s="124">
        <v>0</v>
      </c>
      <c r="S131" s="188"/>
      <c r="T131" s="124">
        <v>0</v>
      </c>
      <c r="U131" s="124">
        <v>0</v>
      </c>
      <c r="V131" s="124">
        <v>0</v>
      </c>
      <c r="W131" s="124">
        <v>0</v>
      </c>
    </row>
    <row r="132" spans="1:23" ht="18" x14ac:dyDescent="0.4">
      <c r="A132" s="191" t="s">
        <v>245</v>
      </c>
      <c r="B132" s="186"/>
      <c r="C132" s="124">
        <v>0</v>
      </c>
      <c r="D132" s="190" t="s">
        <v>230</v>
      </c>
      <c r="E132" s="190" t="s">
        <v>230</v>
      </c>
      <c r="F132" s="190"/>
      <c r="G132" s="130">
        <v>0</v>
      </c>
      <c r="H132" s="130">
        <v>0</v>
      </c>
      <c r="I132" s="130">
        <v>0</v>
      </c>
      <c r="J132" s="130">
        <v>0</v>
      </c>
      <c r="K132" s="130"/>
      <c r="L132" s="130">
        <v>0</v>
      </c>
      <c r="M132" s="130">
        <v>0</v>
      </c>
      <c r="N132" s="190" t="s">
        <v>230</v>
      </c>
      <c r="O132" s="190" t="s">
        <v>230</v>
      </c>
      <c r="P132" s="190" t="s">
        <v>230</v>
      </c>
      <c r="Q132" s="190" t="s">
        <v>230</v>
      </c>
      <c r="R132" s="190" t="s">
        <v>230</v>
      </c>
      <c r="S132" s="192"/>
      <c r="T132" s="190" t="s">
        <v>230</v>
      </c>
      <c r="U132" s="190" t="s">
        <v>230</v>
      </c>
      <c r="V132" s="190" t="s">
        <v>230</v>
      </c>
      <c r="W132" s="130">
        <f t="shared" si="14"/>
        <v>0</v>
      </c>
    </row>
    <row r="133" spans="1:23" ht="18" x14ac:dyDescent="0.4">
      <c r="A133" s="189" t="s">
        <v>246</v>
      </c>
      <c r="B133" s="186"/>
      <c r="C133" s="130">
        <v>0</v>
      </c>
      <c r="D133" s="190" t="s">
        <v>230</v>
      </c>
      <c r="E133" s="190" t="s">
        <v>230</v>
      </c>
      <c r="F133" s="190"/>
      <c r="G133" s="188">
        <v>0</v>
      </c>
      <c r="H133" s="130">
        <v>0</v>
      </c>
      <c r="I133" s="130">
        <v>0</v>
      </c>
      <c r="J133" s="130">
        <v>0</v>
      </c>
      <c r="K133" s="130"/>
      <c r="L133" s="130">
        <v>0</v>
      </c>
      <c r="M133" s="130">
        <v>0</v>
      </c>
      <c r="N133" s="190" t="s">
        <v>230</v>
      </c>
      <c r="O133" s="190" t="s">
        <v>230</v>
      </c>
      <c r="P133" s="190" t="s">
        <v>230</v>
      </c>
      <c r="Q133" s="190" t="s">
        <v>230</v>
      </c>
      <c r="R133" s="190" t="s">
        <v>230</v>
      </c>
      <c r="S133" s="193">
        <v>0</v>
      </c>
      <c r="T133" s="190" t="s">
        <v>230</v>
      </c>
      <c r="U133" s="190" t="s">
        <v>230</v>
      </c>
      <c r="V133" s="190" t="s">
        <v>230</v>
      </c>
      <c r="W133" s="130">
        <f t="shared" si="14"/>
        <v>0</v>
      </c>
    </row>
    <row r="134" spans="1:23" ht="18" x14ac:dyDescent="0.4">
      <c r="A134" s="185" t="s">
        <v>247</v>
      </c>
      <c r="B134" s="186"/>
      <c r="C134" s="124">
        <v>0</v>
      </c>
      <c r="D134" s="187"/>
      <c r="E134" s="187"/>
      <c r="F134" s="187"/>
      <c r="G134" s="188"/>
      <c r="H134" s="188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8"/>
      <c r="T134" s="187"/>
      <c r="U134" s="187"/>
      <c r="V134" s="187"/>
      <c r="W134" s="130">
        <f t="shared" si="14"/>
        <v>0</v>
      </c>
    </row>
    <row r="135" spans="1:23" ht="18" x14ac:dyDescent="0.4">
      <c r="A135" s="181" t="s">
        <v>248</v>
      </c>
      <c r="B135" s="194">
        <v>610400</v>
      </c>
      <c r="C135" s="124">
        <v>0</v>
      </c>
      <c r="D135" s="113" t="s">
        <v>230</v>
      </c>
      <c r="E135" s="113" t="s">
        <v>230</v>
      </c>
      <c r="F135" s="113"/>
      <c r="G135" s="130">
        <v>0</v>
      </c>
      <c r="H135" s="130">
        <v>0</v>
      </c>
      <c r="I135" s="130">
        <v>0</v>
      </c>
      <c r="J135" s="130">
        <v>0</v>
      </c>
      <c r="K135" s="130"/>
      <c r="L135" s="130">
        <v>0</v>
      </c>
      <c r="M135" s="195">
        <v>0</v>
      </c>
      <c r="N135" s="195"/>
      <c r="O135" s="113" t="s">
        <v>230</v>
      </c>
      <c r="P135" s="113" t="s">
        <v>230</v>
      </c>
      <c r="Q135" s="113" t="s">
        <v>230</v>
      </c>
      <c r="R135" s="113" t="s">
        <v>230</v>
      </c>
      <c r="S135" s="184"/>
      <c r="T135" s="113" t="s">
        <v>230</v>
      </c>
      <c r="U135" s="113" t="s">
        <v>230</v>
      </c>
      <c r="V135" s="113" t="s">
        <v>230</v>
      </c>
      <c r="W135" s="130">
        <f t="shared" si="14"/>
        <v>0</v>
      </c>
    </row>
    <row r="136" spans="1:23" ht="18" x14ac:dyDescent="0.4">
      <c r="A136" s="133" t="s">
        <v>189</v>
      </c>
      <c r="B136" s="134"/>
      <c r="C136" s="135">
        <f>SUM(C134:C135)</f>
        <v>0</v>
      </c>
      <c r="D136" s="135">
        <f>SUM(D126:D135)</f>
        <v>0</v>
      </c>
      <c r="E136" s="135">
        <f>SUM(E134:E135)</f>
        <v>0</v>
      </c>
      <c r="F136" s="135"/>
      <c r="G136" s="178">
        <f>SUM(G133:G135)</f>
        <v>0</v>
      </c>
      <c r="H136" s="178">
        <f>SUM(H126:H135)</f>
        <v>0</v>
      </c>
      <c r="I136" s="135">
        <f>SUM(I126:I135)</f>
        <v>0</v>
      </c>
      <c r="J136" s="135">
        <f>SUM(J134:J135)</f>
        <v>0</v>
      </c>
      <c r="K136" s="135">
        <f>SUM(K124:K135)</f>
        <v>0</v>
      </c>
      <c r="L136" s="135">
        <f>SUM(L134:L135)</f>
        <v>0</v>
      </c>
      <c r="M136" s="135">
        <f>SUM(M134:M135)</f>
        <v>0</v>
      </c>
      <c r="N136" s="135">
        <f>SUM(N125:N135)</f>
        <v>0</v>
      </c>
      <c r="O136" s="135">
        <f>SUM(O134:O135)</f>
        <v>0</v>
      </c>
      <c r="P136" s="135">
        <f>SUM(P134:P135)</f>
        <v>0</v>
      </c>
      <c r="Q136" s="135">
        <f>SUM(Q134:Q135)</f>
        <v>0</v>
      </c>
      <c r="R136" s="135">
        <f>SUM(R125:R135)</f>
        <v>0</v>
      </c>
      <c r="S136" s="178">
        <f>SUM(S126:S135)</f>
        <v>0</v>
      </c>
      <c r="T136" s="135">
        <f>SUM(T134:T135)</f>
        <v>0</v>
      </c>
      <c r="U136" s="135">
        <f>SUM(U134:U135)</f>
        <v>0</v>
      </c>
      <c r="V136" s="135">
        <f>SUM(V134:V135)</f>
        <v>0</v>
      </c>
      <c r="W136" s="135">
        <f>SUM(W126:W135)</f>
        <v>0</v>
      </c>
    </row>
    <row r="137" spans="1:23" ht="18" x14ac:dyDescent="0.4">
      <c r="A137" s="181"/>
      <c r="B137" s="194"/>
      <c r="C137" s="183"/>
      <c r="D137" s="183"/>
      <c r="E137" s="183"/>
      <c r="F137" s="183"/>
      <c r="G137" s="184"/>
      <c r="H137" s="184"/>
      <c r="I137" s="183"/>
      <c r="J137" s="183"/>
      <c r="K137" s="183"/>
      <c r="L137" s="183"/>
      <c r="M137" s="184"/>
      <c r="N137" s="184"/>
      <c r="O137" s="183"/>
      <c r="P137" s="183"/>
      <c r="Q137" s="183"/>
      <c r="R137" s="183"/>
      <c r="S137" s="184"/>
      <c r="T137" s="183"/>
      <c r="U137" s="183"/>
      <c r="V137" s="183"/>
      <c r="W137" s="130">
        <f t="shared" ref="W137:W142" si="15">SUM(C137:V137)</f>
        <v>0</v>
      </c>
    </row>
    <row r="138" spans="1:23" ht="21" x14ac:dyDescent="0.45">
      <c r="A138" s="196" t="s">
        <v>249</v>
      </c>
      <c r="B138" s="132"/>
      <c r="C138" s="130"/>
      <c r="D138" s="130"/>
      <c r="E138" s="130"/>
      <c r="F138" s="130"/>
      <c r="G138" s="143"/>
      <c r="H138" s="143"/>
      <c r="I138" s="130"/>
      <c r="J138" s="130"/>
      <c r="K138" s="130"/>
      <c r="L138" s="130"/>
      <c r="M138" s="143"/>
      <c r="N138" s="143"/>
      <c r="O138" s="130"/>
      <c r="P138" s="130"/>
      <c r="Q138" s="130"/>
      <c r="R138" s="130"/>
      <c r="S138" s="143"/>
      <c r="T138" s="130"/>
      <c r="U138" s="130"/>
      <c r="V138" s="130"/>
      <c r="W138" s="130">
        <f t="shared" si="15"/>
        <v>0</v>
      </c>
    </row>
    <row r="139" spans="1:23" ht="18.75" x14ac:dyDescent="0.45">
      <c r="A139" s="197" t="s">
        <v>250</v>
      </c>
      <c r="B139" s="132"/>
      <c r="C139" s="130"/>
      <c r="D139" s="130"/>
      <c r="E139" s="130"/>
      <c r="F139" s="130"/>
      <c r="G139" s="143"/>
      <c r="H139" s="143"/>
      <c r="I139" s="130"/>
      <c r="J139" s="130"/>
      <c r="K139" s="130"/>
      <c r="L139" s="130"/>
      <c r="M139" s="143"/>
      <c r="N139" s="143"/>
      <c r="O139" s="130"/>
      <c r="P139" s="130"/>
      <c r="Q139" s="130"/>
      <c r="R139" s="130"/>
      <c r="S139" s="143"/>
      <c r="T139" s="130"/>
      <c r="U139" s="130"/>
      <c r="V139" s="130"/>
      <c r="W139" s="130"/>
    </row>
    <row r="140" spans="1:23" ht="18" x14ac:dyDescent="0.4">
      <c r="A140" s="163"/>
      <c r="B140" s="132">
        <v>420100</v>
      </c>
      <c r="C140" s="130"/>
      <c r="D140" s="130">
        <v>0</v>
      </c>
      <c r="E140" s="130"/>
      <c r="F140" s="130"/>
      <c r="G140" s="143"/>
      <c r="H140" s="143"/>
      <c r="I140" s="130"/>
      <c r="J140" s="130"/>
      <c r="K140" s="130"/>
      <c r="L140" s="130"/>
      <c r="M140" s="143"/>
      <c r="N140" s="143"/>
      <c r="O140" s="130"/>
      <c r="P140" s="130"/>
      <c r="Q140" s="130"/>
      <c r="R140" s="130"/>
      <c r="S140" s="143"/>
      <c r="T140" s="130"/>
      <c r="U140" s="130"/>
      <c r="V140" s="130"/>
      <c r="W140" s="130">
        <f t="shared" si="15"/>
        <v>0</v>
      </c>
    </row>
    <row r="141" spans="1:23" s="136" customFormat="1" ht="18" x14ac:dyDescent="0.4">
      <c r="A141" s="131"/>
      <c r="B141" s="132"/>
      <c r="C141" s="130">
        <v>0</v>
      </c>
      <c r="D141" s="130">
        <v>0</v>
      </c>
      <c r="E141" s="130">
        <v>0</v>
      </c>
      <c r="F141" s="130"/>
      <c r="G141" s="130">
        <v>0</v>
      </c>
      <c r="H141" s="130">
        <v>0</v>
      </c>
      <c r="I141" s="130">
        <v>0</v>
      </c>
      <c r="J141" s="130">
        <v>0</v>
      </c>
      <c r="K141" s="130"/>
      <c r="L141" s="130">
        <v>0</v>
      </c>
      <c r="M141" s="130">
        <v>0</v>
      </c>
      <c r="N141" s="130"/>
      <c r="O141" s="198">
        <v>0</v>
      </c>
      <c r="P141" s="130">
        <v>0</v>
      </c>
      <c r="Q141" s="130">
        <v>0</v>
      </c>
      <c r="R141" s="130"/>
      <c r="S141" s="130">
        <v>0</v>
      </c>
      <c r="T141" s="130">
        <v>0</v>
      </c>
      <c r="U141" s="130">
        <v>0</v>
      </c>
      <c r="V141" s="130">
        <v>0</v>
      </c>
      <c r="W141" s="130">
        <f t="shared" si="15"/>
        <v>0</v>
      </c>
    </row>
    <row r="142" spans="1:23" ht="18" x14ac:dyDescent="0.4">
      <c r="A142" s="133" t="s">
        <v>189</v>
      </c>
      <c r="B142" s="134"/>
      <c r="C142" s="135">
        <f>SUM(C141:C141)</f>
        <v>0</v>
      </c>
      <c r="D142" s="135">
        <f>SUM(D139:D141)</f>
        <v>0</v>
      </c>
      <c r="E142" s="135">
        <f>SUM(E139:E141)</f>
        <v>0</v>
      </c>
      <c r="F142" s="135"/>
      <c r="G142" s="135">
        <f>SUM(G141:G141)</f>
        <v>0</v>
      </c>
      <c r="H142" s="135">
        <f>SUM(H141:H141)</f>
        <v>0</v>
      </c>
      <c r="I142" s="135">
        <f>SUM(I141:I141)</f>
        <v>0</v>
      </c>
      <c r="J142" s="135">
        <f>SUM(J141:J141)</f>
        <v>0</v>
      </c>
      <c r="K142" s="135"/>
      <c r="L142" s="135">
        <f>SUM(L141:L141)</f>
        <v>0</v>
      </c>
      <c r="M142" s="135">
        <f>SUM(M141:M141)</f>
        <v>0</v>
      </c>
      <c r="N142" s="135"/>
      <c r="O142" s="135">
        <f>SUM(O137:O141)</f>
        <v>0</v>
      </c>
      <c r="P142" s="135">
        <f>SUM(P141:P141)</f>
        <v>0</v>
      </c>
      <c r="Q142" s="135">
        <f>SUM(Q141:Q141)</f>
        <v>0</v>
      </c>
      <c r="R142" s="135"/>
      <c r="S142" s="135">
        <f>SUM(S137:S141)</f>
        <v>0</v>
      </c>
      <c r="T142" s="135">
        <f>SUM(T141:T141)</f>
        <v>0</v>
      </c>
      <c r="U142" s="135">
        <f>SUM(U141:U141)</f>
        <v>0</v>
      </c>
      <c r="V142" s="135">
        <f>SUM(V137:V141)</f>
        <v>0</v>
      </c>
      <c r="W142" s="130">
        <f t="shared" si="15"/>
        <v>0</v>
      </c>
    </row>
    <row r="143" spans="1:23" s="100" customFormat="1" ht="23.25" x14ac:dyDescent="0.5">
      <c r="A143" s="904" t="s">
        <v>76</v>
      </c>
      <c r="B143" s="904"/>
      <c r="C143" s="904"/>
      <c r="D143" s="904"/>
      <c r="E143" s="904"/>
      <c r="F143" s="904"/>
      <c r="G143" s="904"/>
      <c r="H143" s="904"/>
      <c r="I143" s="904"/>
      <c r="J143" s="904"/>
      <c r="K143" s="904"/>
      <c r="L143" s="904"/>
      <c r="M143" s="904"/>
      <c r="N143" s="904"/>
      <c r="O143" s="904"/>
      <c r="P143" s="904"/>
      <c r="Q143" s="904"/>
      <c r="R143" s="904"/>
      <c r="S143" s="904"/>
      <c r="T143" s="904"/>
      <c r="U143" s="904"/>
      <c r="V143" s="904"/>
      <c r="W143" s="904"/>
    </row>
    <row r="144" spans="1:23" s="100" customFormat="1" ht="23.25" x14ac:dyDescent="0.5">
      <c r="A144" s="904" t="s">
        <v>109</v>
      </c>
      <c r="B144" s="904"/>
      <c r="C144" s="904"/>
      <c r="D144" s="904"/>
      <c r="E144" s="904"/>
      <c r="F144" s="904"/>
      <c r="G144" s="904"/>
      <c r="H144" s="904"/>
      <c r="I144" s="904"/>
      <c r="J144" s="904"/>
      <c r="K144" s="904"/>
      <c r="L144" s="904"/>
      <c r="M144" s="904"/>
      <c r="N144" s="904"/>
      <c r="O144" s="904"/>
      <c r="P144" s="904"/>
      <c r="Q144" s="904"/>
      <c r="R144" s="904"/>
      <c r="S144" s="904"/>
      <c r="T144" s="904"/>
      <c r="U144" s="904"/>
      <c r="V144" s="904"/>
      <c r="W144" s="904"/>
    </row>
    <row r="145" spans="1:23" s="100" customFormat="1" ht="23.25" x14ac:dyDescent="0.5">
      <c r="A145" s="904" t="s">
        <v>454</v>
      </c>
      <c r="B145" s="904"/>
      <c r="C145" s="904"/>
      <c r="D145" s="904"/>
      <c r="E145" s="904"/>
      <c r="F145" s="904"/>
      <c r="G145" s="904"/>
      <c r="H145" s="904"/>
      <c r="I145" s="904"/>
      <c r="J145" s="904"/>
      <c r="K145" s="904"/>
      <c r="L145" s="904"/>
      <c r="M145" s="904"/>
      <c r="N145" s="904"/>
      <c r="O145" s="904"/>
      <c r="P145" s="904"/>
      <c r="Q145" s="904"/>
      <c r="R145" s="904"/>
      <c r="S145" s="904"/>
      <c r="T145" s="904"/>
      <c r="U145" s="904"/>
      <c r="V145" s="904"/>
      <c r="W145" s="904"/>
    </row>
    <row r="146" spans="1:23" ht="18" x14ac:dyDescent="0.4">
      <c r="A146" s="101"/>
      <c r="B146" s="102"/>
      <c r="C146" s="103" t="s">
        <v>41</v>
      </c>
      <c r="D146" s="914" t="s">
        <v>110</v>
      </c>
      <c r="E146" s="915"/>
      <c r="F146" s="927" t="s">
        <v>111</v>
      </c>
      <c r="G146" s="928"/>
      <c r="H146" s="913" t="s">
        <v>112</v>
      </c>
      <c r="I146" s="916"/>
      <c r="J146" s="929" t="s">
        <v>113</v>
      </c>
      <c r="K146" s="930"/>
      <c r="L146" s="151" t="s">
        <v>113</v>
      </c>
      <c r="M146" s="927" t="s">
        <v>113</v>
      </c>
      <c r="N146" s="916"/>
      <c r="O146" s="913" t="s">
        <v>114</v>
      </c>
      <c r="P146" s="914"/>
      <c r="Q146" s="913" t="s">
        <v>115</v>
      </c>
      <c r="R146" s="914"/>
      <c r="S146" s="915"/>
      <c r="T146" s="913" t="s">
        <v>201</v>
      </c>
      <c r="U146" s="916"/>
      <c r="V146" s="151" t="s">
        <v>113</v>
      </c>
      <c r="W146" s="104"/>
    </row>
    <row r="147" spans="1:23" ht="18" x14ac:dyDescent="0.4">
      <c r="A147" s="105"/>
      <c r="B147" s="106"/>
      <c r="C147" s="107"/>
      <c r="D147" s="917"/>
      <c r="E147" s="918"/>
      <c r="F147" s="919" t="s">
        <v>202</v>
      </c>
      <c r="G147" s="920"/>
      <c r="H147" s="251"/>
      <c r="I147" s="215"/>
      <c r="J147" s="921" t="s">
        <v>118</v>
      </c>
      <c r="K147" s="922"/>
      <c r="L147" s="113" t="s">
        <v>119</v>
      </c>
      <c r="M147" s="919" t="s">
        <v>120</v>
      </c>
      <c r="N147" s="923"/>
      <c r="O147" s="214"/>
      <c r="P147" s="108"/>
      <c r="Q147" s="921" t="s">
        <v>121</v>
      </c>
      <c r="R147" s="924"/>
      <c r="S147" s="922"/>
      <c r="T147" s="921" t="s">
        <v>203</v>
      </c>
      <c r="U147" s="923"/>
      <c r="V147" s="252" t="s">
        <v>122</v>
      </c>
      <c r="W147" s="109"/>
    </row>
    <row r="148" spans="1:23" ht="18" x14ac:dyDescent="0.4">
      <c r="A148" s="105" t="s">
        <v>123</v>
      </c>
      <c r="B148" s="106"/>
      <c r="C148" s="110" t="s">
        <v>204</v>
      </c>
      <c r="D148" s="917" t="s">
        <v>205</v>
      </c>
      <c r="E148" s="918"/>
      <c r="F148" s="212"/>
      <c r="G148" s="254" t="s">
        <v>126</v>
      </c>
      <c r="H148" s="255"/>
      <c r="I148" s="213" t="s">
        <v>127</v>
      </c>
      <c r="J148" s="937" t="s">
        <v>128</v>
      </c>
      <c r="K148" s="938"/>
      <c r="L148" s="110"/>
      <c r="M148" s="939" t="s">
        <v>129</v>
      </c>
      <c r="N148" s="926"/>
      <c r="O148" s="936" t="s">
        <v>130</v>
      </c>
      <c r="P148" s="940"/>
      <c r="Q148" s="936" t="s">
        <v>131</v>
      </c>
      <c r="R148" s="940"/>
      <c r="S148" s="941"/>
      <c r="T148" s="936" t="s">
        <v>132</v>
      </c>
      <c r="U148" s="926"/>
      <c r="V148" s="213"/>
      <c r="W148" s="109"/>
    </row>
    <row r="149" spans="1:23" ht="18" x14ac:dyDescent="0.4">
      <c r="A149" s="111"/>
      <c r="B149" s="152"/>
      <c r="C149" s="103" t="s">
        <v>134</v>
      </c>
      <c r="D149" s="103" t="s">
        <v>135</v>
      </c>
      <c r="E149" s="103" t="s">
        <v>135</v>
      </c>
      <c r="F149" s="245" t="s">
        <v>136</v>
      </c>
      <c r="G149" s="245" t="s">
        <v>137</v>
      </c>
      <c r="H149" s="174" t="s">
        <v>228</v>
      </c>
      <c r="I149" s="103" t="s">
        <v>206</v>
      </c>
      <c r="J149" s="103" t="s">
        <v>140</v>
      </c>
      <c r="K149" s="103" t="s">
        <v>141</v>
      </c>
      <c r="L149" s="103" t="s">
        <v>142</v>
      </c>
      <c r="M149" s="174" t="s">
        <v>207</v>
      </c>
      <c r="N149" s="174" t="s">
        <v>442</v>
      </c>
      <c r="O149" s="103" t="s">
        <v>138</v>
      </c>
      <c r="P149" s="103" t="s">
        <v>144</v>
      </c>
      <c r="Q149" s="103" t="s">
        <v>145</v>
      </c>
      <c r="R149" s="113" t="s">
        <v>146</v>
      </c>
      <c r="S149" s="175" t="s">
        <v>147</v>
      </c>
      <c r="T149" s="114" t="s">
        <v>148</v>
      </c>
      <c r="U149" s="103" t="s">
        <v>149</v>
      </c>
      <c r="V149" s="103" t="s">
        <v>150</v>
      </c>
      <c r="W149" s="253" t="s">
        <v>151</v>
      </c>
    </row>
    <row r="150" spans="1:23" ht="18" x14ac:dyDescent="0.4">
      <c r="A150" s="105"/>
      <c r="B150" s="106"/>
      <c r="C150" s="113"/>
      <c r="D150" s="113" t="s">
        <v>152</v>
      </c>
      <c r="E150" s="113" t="s">
        <v>153</v>
      </c>
      <c r="F150" s="246" t="s">
        <v>154</v>
      </c>
      <c r="G150" s="246" t="s">
        <v>155</v>
      </c>
      <c r="H150" s="176" t="s">
        <v>229</v>
      </c>
      <c r="I150" s="113" t="s">
        <v>209</v>
      </c>
      <c r="J150" s="113" t="s">
        <v>158</v>
      </c>
      <c r="K150" s="113" t="s">
        <v>159</v>
      </c>
      <c r="L150" s="113" t="s">
        <v>160</v>
      </c>
      <c r="M150" s="176" t="s">
        <v>161</v>
      </c>
      <c r="N150" s="176" t="s">
        <v>443</v>
      </c>
      <c r="O150" s="113" t="s">
        <v>163</v>
      </c>
      <c r="P150" s="113" t="s">
        <v>164</v>
      </c>
      <c r="Q150" s="113" t="s">
        <v>165</v>
      </c>
      <c r="R150" s="113" t="s">
        <v>166</v>
      </c>
      <c r="S150" s="175" t="s">
        <v>167</v>
      </c>
      <c r="T150" s="114" t="s">
        <v>168</v>
      </c>
      <c r="U150" s="113" t="s">
        <v>169</v>
      </c>
      <c r="V150" s="113" t="s">
        <v>170</v>
      </c>
      <c r="W150" s="109"/>
    </row>
    <row r="151" spans="1:23" ht="18" x14ac:dyDescent="0.4">
      <c r="A151" s="115"/>
      <c r="B151" s="116"/>
      <c r="C151" s="110" t="s">
        <v>171</v>
      </c>
      <c r="D151" s="110" t="s">
        <v>172</v>
      </c>
      <c r="E151" s="110" t="s">
        <v>173</v>
      </c>
      <c r="F151" s="247" t="s">
        <v>174</v>
      </c>
      <c r="G151" s="247"/>
      <c r="H151" s="177"/>
      <c r="I151" s="110" t="s">
        <v>210</v>
      </c>
      <c r="J151" s="110"/>
      <c r="K151" s="117" t="s">
        <v>177</v>
      </c>
      <c r="L151" s="110"/>
      <c r="M151" s="177" t="s">
        <v>179</v>
      </c>
      <c r="N151" s="177" t="s">
        <v>444</v>
      </c>
      <c r="O151" s="110" t="s">
        <v>180</v>
      </c>
      <c r="P151" s="110" t="s">
        <v>181</v>
      </c>
      <c r="Q151" s="110" t="s">
        <v>182</v>
      </c>
      <c r="R151" s="117" t="s">
        <v>183</v>
      </c>
      <c r="S151" s="177" t="s">
        <v>184</v>
      </c>
      <c r="T151" s="110" t="s">
        <v>185</v>
      </c>
      <c r="U151" s="110" t="s">
        <v>186</v>
      </c>
      <c r="V151" s="110"/>
      <c r="W151" s="118"/>
    </row>
    <row r="152" spans="1:23" s="136" customFormat="1" ht="21" x14ac:dyDescent="0.45">
      <c r="A152" s="119" t="s">
        <v>251</v>
      </c>
      <c r="B152" s="132">
        <v>542000</v>
      </c>
      <c r="C152" s="199"/>
      <c r="D152" s="200"/>
      <c r="E152" s="200"/>
      <c r="F152" s="200"/>
      <c r="G152" s="201"/>
      <c r="H152" s="201"/>
      <c r="I152" s="200"/>
      <c r="J152" s="200"/>
      <c r="K152" s="200"/>
      <c r="L152" s="200"/>
      <c r="M152" s="201"/>
      <c r="N152" s="201"/>
      <c r="O152" s="200"/>
      <c r="P152" s="200"/>
      <c r="Q152" s="200"/>
      <c r="R152" s="200"/>
      <c r="S152" s="201"/>
      <c r="T152" s="200"/>
      <c r="U152" s="200"/>
      <c r="V152" s="200"/>
      <c r="W152" s="200"/>
    </row>
    <row r="153" spans="1:23" ht="18" x14ac:dyDescent="0.4">
      <c r="A153" s="189" t="s">
        <v>446</v>
      </c>
      <c r="B153" s="132"/>
      <c r="C153" s="200">
        <f>SUM(Z166)</f>
        <v>0</v>
      </c>
      <c r="D153" s="200">
        <f>SUM(AA166)</f>
        <v>0</v>
      </c>
      <c r="E153" s="200">
        <f>SUM(AB166)</f>
        <v>0</v>
      </c>
      <c r="F153" s="200">
        <f>SUM(AA166)</f>
        <v>0</v>
      </c>
      <c r="G153" s="200">
        <f>SUM(AC166)</f>
        <v>0</v>
      </c>
      <c r="H153" s="200">
        <f>SUM(AD166)</f>
        <v>0</v>
      </c>
      <c r="I153" s="200">
        <f>SUM(AE166)</f>
        <v>0</v>
      </c>
      <c r="J153" s="200">
        <f>SUM(AF166)</f>
        <v>0</v>
      </c>
      <c r="K153" s="200"/>
      <c r="L153" s="200">
        <f>SUM(AG166)</f>
        <v>0</v>
      </c>
      <c r="M153" s="200">
        <f>SUM(AH166)</f>
        <v>0</v>
      </c>
      <c r="N153" s="200"/>
      <c r="O153" s="200">
        <f>SUM(AI166)</f>
        <v>0</v>
      </c>
      <c r="P153" s="200"/>
      <c r="Q153" s="200">
        <f>SUM(AL166)</f>
        <v>0</v>
      </c>
      <c r="R153" s="200">
        <f>SUM(AM166)</f>
        <v>0</v>
      </c>
      <c r="S153" s="200">
        <f>SUM(AM166)</f>
        <v>0</v>
      </c>
      <c r="T153" s="200">
        <f>SUM(AN166)</f>
        <v>0</v>
      </c>
      <c r="U153" s="200">
        <f>SUM(AO166)</f>
        <v>0</v>
      </c>
      <c r="V153" s="200">
        <v>0</v>
      </c>
      <c r="W153" s="200">
        <f t="shared" ref="W153:W159" si="16">SUM(C153:V153)</f>
        <v>0</v>
      </c>
    </row>
    <row r="154" spans="1:23" ht="18" x14ac:dyDescent="0.4">
      <c r="A154" s="189" t="s">
        <v>447</v>
      </c>
      <c r="B154" s="132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>
        <v>0</v>
      </c>
      <c r="Q154" s="200"/>
      <c r="R154" s="200"/>
      <c r="S154" s="200"/>
      <c r="T154" s="200"/>
      <c r="U154" s="200"/>
      <c r="V154" s="200"/>
      <c r="W154" s="130">
        <f>SUM(C154:V154)</f>
        <v>0</v>
      </c>
    </row>
    <row r="155" spans="1:23" ht="18" x14ac:dyDescent="0.4">
      <c r="A155" s="189" t="s">
        <v>252</v>
      </c>
      <c r="B155" s="132"/>
      <c r="C155" s="200">
        <f>SUM(Z169)</f>
        <v>0</v>
      </c>
      <c r="D155" s="200">
        <f>SUM(AA169)</f>
        <v>0</v>
      </c>
      <c r="E155" s="200">
        <f>SUM(AB169)</f>
        <v>0</v>
      </c>
      <c r="F155" s="200">
        <f>SUM(AA169)</f>
        <v>0</v>
      </c>
      <c r="G155" s="200">
        <f>SUM(AC169)</f>
        <v>0</v>
      </c>
      <c r="H155" s="200">
        <f>SUM(AD169)</f>
        <v>0</v>
      </c>
      <c r="I155" s="200">
        <f>SUM(AE169)</f>
        <v>0</v>
      </c>
      <c r="J155" s="200">
        <f>SUM(AF169)</f>
        <v>0</v>
      </c>
      <c r="K155" s="200"/>
      <c r="L155" s="200">
        <f>SUM(AG169)</f>
        <v>0</v>
      </c>
      <c r="M155" s="200">
        <f>SUM(AH169)</f>
        <v>0</v>
      </c>
      <c r="N155" s="200"/>
      <c r="O155" s="200">
        <f>SUM(AI169)</f>
        <v>0</v>
      </c>
      <c r="P155" s="200">
        <v>0</v>
      </c>
      <c r="Q155" s="200">
        <f>SUM(AL169)</f>
        <v>0</v>
      </c>
      <c r="R155" s="200">
        <f>SUM(AM169)</f>
        <v>0</v>
      </c>
      <c r="S155" s="200">
        <f>SUM(AM169)</f>
        <v>0</v>
      </c>
      <c r="T155" s="200">
        <v>0</v>
      </c>
      <c r="U155" s="200">
        <f>SUM(AO169)</f>
        <v>0</v>
      </c>
      <c r="V155" s="200">
        <f>SUM(AK169)</f>
        <v>0</v>
      </c>
      <c r="W155" s="200">
        <f t="shared" si="16"/>
        <v>0</v>
      </c>
    </row>
    <row r="156" spans="1:23" ht="18" x14ac:dyDescent="0.4">
      <c r="A156" s="189" t="s">
        <v>253</v>
      </c>
      <c r="B156" s="132"/>
      <c r="C156" s="200">
        <v>0</v>
      </c>
      <c r="D156" s="200">
        <v>0</v>
      </c>
      <c r="E156" s="200">
        <v>0</v>
      </c>
      <c r="F156" s="200">
        <f>SUM(AA170)</f>
        <v>0</v>
      </c>
      <c r="G156" s="200">
        <v>0</v>
      </c>
      <c r="H156" s="200">
        <v>0</v>
      </c>
      <c r="I156" s="200">
        <v>0</v>
      </c>
      <c r="J156" s="200">
        <v>0</v>
      </c>
      <c r="K156" s="200"/>
      <c r="L156" s="200">
        <v>0</v>
      </c>
      <c r="M156" s="200">
        <v>0</v>
      </c>
      <c r="N156" s="200"/>
      <c r="O156" s="200">
        <v>0</v>
      </c>
      <c r="P156" s="200">
        <v>0</v>
      </c>
      <c r="Q156" s="200">
        <f>SUM(AL170)</f>
        <v>0</v>
      </c>
      <c r="R156" s="200">
        <f>SUM(AM170)</f>
        <v>0</v>
      </c>
      <c r="S156" s="200">
        <f>SUM(AM170)</f>
        <v>0</v>
      </c>
      <c r="T156" s="200">
        <v>0</v>
      </c>
      <c r="U156" s="200"/>
      <c r="V156" s="200">
        <v>0</v>
      </c>
      <c r="W156" s="130">
        <f>SUM(C156:V156)</f>
        <v>0</v>
      </c>
    </row>
    <row r="157" spans="1:23" ht="18" x14ac:dyDescent="0.4">
      <c r="A157" s="189" t="s">
        <v>254</v>
      </c>
      <c r="B157" s="132"/>
      <c r="C157" s="200">
        <v>0</v>
      </c>
      <c r="D157" s="200">
        <v>0</v>
      </c>
      <c r="E157" s="200">
        <v>0</v>
      </c>
      <c r="F157" s="200">
        <v>0</v>
      </c>
      <c r="G157" s="200">
        <v>0</v>
      </c>
      <c r="H157" s="200">
        <v>0</v>
      </c>
      <c r="I157" s="200">
        <v>0</v>
      </c>
      <c r="J157" s="200">
        <v>0</v>
      </c>
      <c r="K157" s="200"/>
      <c r="L157" s="200">
        <v>0</v>
      </c>
      <c r="M157" s="200">
        <v>0</v>
      </c>
      <c r="N157" s="200"/>
      <c r="O157" s="200">
        <v>0</v>
      </c>
      <c r="P157" s="200">
        <v>0</v>
      </c>
      <c r="Q157" s="200">
        <v>0</v>
      </c>
      <c r="R157" s="200">
        <v>0</v>
      </c>
      <c r="S157" s="200">
        <v>0</v>
      </c>
      <c r="T157" s="200">
        <v>0</v>
      </c>
      <c r="U157" s="200">
        <v>0</v>
      </c>
      <c r="V157" s="200">
        <v>0</v>
      </c>
      <c r="W157" s="200">
        <f t="shared" si="16"/>
        <v>0</v>
      </c>
    </row>
    <row r="158" spans="1:23" ht="18" x14ac:dyDescent="0.4">
      <c r="A158" s="189" t="s">
        <v>255</v>
      </c>
      <c r="B158" s="132"/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/>
      <c r="L158" s="130">
        <v>0</v>
      </c>
      <c r="M158" s="130">
        <v>0</v>
      </c>
      <c r="N158" s="130"/>
      <c r="O158" s="130">
        <v>0</v>
      </c>
      <c r="P158" s="130">
        <v>0</v>
      </c>
      <c r="Q158" s="130">
        <v>0</v>
      </c>
      <c r="R158" s="130">
        <v>0</v>
      </c>
      <c r="S158" s="130">
        <v>0</v>
      </c>
      <c r="T158" s="130">
        <v>0</v>
      </c>
      <c r="U158" s="130">
        <v>0</v>
      </c>
      <c r="V158" s="130">
        <v>0</v>
      </c>
      <c r="W158" s="130">
        <f>SUM(C158:V158)</f>
        <v>0</v>
      </c>
    </row>
    <row r="159" spans="1:23" ht="18" x14ac:dyDescent="0.4">
      <c r="A159" s="189" t="s">
        <v>256</v>
      </c>
      <c r="B159" s="132"/>
      <c r="C159" s="130">
        <v>0</v>
      </c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/>
      <c r="L159" s="130">
        <v>0</v>
      </c>
      <c r="M159" s="130">
        <v>0</v>
      </c>
      <c r="N159" s="130"/>
      <c r="O159" s="130">
        <v>0</v>
      </c>
      <c r="P159" s="130">
        <v>0</v>
      </c>
      <c r="Q159" s="130">
        <v>0</v>
      </c>
      <c r="R159" s="130">
        <v>0</v>
      </c>
      <c r="S159" s="130">
        <v>0</v>
      </c>
      <c r="T159" s="130">
        <v>0</v>
      </c>
      <c r="U159" s="130">
        <v>0</v>
      </c>
      <c r="V159" s="130">
        <v>0</v>
      </c>
      <c r="W159" s="200">
        <f t="shared" si="16"/>
        <v>0</v>
      </c>
    </row>
    <row r="160" spans="1:23" s="136" customFormat="1" ht="18" x14ac:dyDescent="0.4">
      <c r="A160" s="189" t="s">
        <v>257</v>
      </c>
      <c r="B160" s="132"/>
      <c r="C160" s="130">
        <v>0</v>
      </c>
      <c r="D160" s="130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/>
      <c r="L160" s="130">
        <v>0</v>
      </c>
      <c r="M160" s="130">
        <v>0</v>
      </c>
      <c r="N160" s="130"/>
      <c r="O160" s="130">
        <v>0</v>
      </c>
      <c r="P160" s="130">
        <v>0</v>
      </c>
      <c r="Q160" s="130">
        <v>0</v>
      </c>
      <c r="R160" s="130">
        <v>0</v>
      </c>
      <c r="S160" s="130">
        <v>0</v>
      </c>
      <c r="T160" s="130">
        <v>0</v>
      </c>
      <c r="U160" s="130">
        <v>0</v>
      </c>
      <c r="V160" s="130">
        <v>0</v>
      </c>
      <c r="W160" s="130">
        <f>SUM(C160:V160)</f>
        <v>0</v>
      </c>
    </row>
    <row r="161" spans="1:27" s="136" customFormat="1" ht="18" x14ac:dyDescent="0.4">
      <c r="A161" s="189" t="s">
        <v>258</v>
      </c>
      <c r="B161" s="132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>
        <v>0</v>
      </c>
      <c r="Q161" s="130"/>
      <c r="R161" s="130"/>
      <c r="S161" s="130"/>
      <c r="T161" s="130"/>
      <c r="U161" s="130"/>
      <c r="V161" s="130"/>
      <c r="W161" s="130">
        <f>SUM(C161:V161)</f>
        <v>0</v>
      </c>
    </row>
    <row r="162" spans="1:27" s="136" customFormat="1" ht="18" x14ac:dyDescent="0.4">
      <c r="A162" s="189" t="s">
        <v>259</v>
      </c>
      <c r="B162" s="132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>
        <f>SUM(C162:V162)</f>
        <v>0</v>
      </c>
    </row>
    <row r="163" spans="1:27" s="136" customFormat="1" ht="18" x14ac:dyDescent="0.4">
      <c r="A163" s="189" t="s">
        <v>453</v>
      </c>
      <c r="B163" s="132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>
        <v>0</v>
      </c>
      <c r="U163" s="130">
        <v>0</v>
      </c>
      <c r="V163" s="130"/>
      <c r="W163" s="130"/>
    </row>
    <row r="164" spans="1:27" s="136" customFormat="1" ht="18" x14ac:dyDescent="0.4">
      <c r="A164" s="202" t="s">
        <v>260</v>
      </c>
      <c r="B164" s="132"/>
      <c r="C164" s="130">
        <v>0</v>
      </c>
      <c r="D164" s="130">
        <v>0</v>
      </c>
      <c r="E164" s="130">
        <v>0</v>
      </c>
      <c r="F164" s="130">
        <v>0</v>
      </c>
      <c r="G164" s="130">
        <v>0</v>
      </c>
      <c r="H164" s="130">
        <v>0</v>
      </c>
      <c r="I164" s="130">
        <v>0</v>
      </c>
      <c r="J164" s="130">
        <v>0</v>
      </c>
      <c r="K164" s="130"/>
      <c r="L164" s="130">
        <v>0</v>
      </c>
      <c r="M164" s="130">
        <v>0</v>
      </c>
      <c r="N164" s="130"/>
      <c r="O164" s="130">
        <v>0</v>
      </c>
      <c r="P164" s="130">
        <v>0</v>
      </c>
      <c r="Q164" s="130">
        <v>0</v>
      </c>
      <c r="R164" s="130">
        <v>0</v>
      </c>
      <c r="S164" s="130">
        <v>0</v>
      </c>
      <c r="T164" s="130">
        <v>0</v>
      </c>
      <c r="U164" s="130">
        <v>0</v>
      </c>
      <c r="V164" s="130"/>
      <c r="W164" s="130"/>
    </row>
    <row r="165" spans="1:27" ht="18" x14ac:dyDescent="0.4">
      <c r="A165" s="189" t="s">
        <v>261</v>
      </c>
      <c r="B165" s="132"/>
      <c r="C165" s="130">
        <v>0</v>
      </c>
      <c r="D165" s="130"/>
      <c r="E165" s="130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 s="130"/>
      <c r="L165" s="130">
        <v>0</v>
      </c>
      <c r="M165" s="130">
        <v>0</v>
      </c>
      <c r="N165" s="130"/>
      <c r="O165" s="130">
        <v>0</v>
      </c>
      <c r="P165" s="130"/>
      <c r="Q165" s="130">
        <v>0</v>
      </c>
      <c r="R165" s="130">
        <v>0</v>
      </c>
      <c r="S165" s="130">
        <v>0</v>
      </c>
      <c r="T165" s="130">
        <v>0</v>
      </c>
      <c r="U165" s="130">
        <v>0</v>
      </c>
      <c r="V165" s="130"/>
      <c r="W165" s="200"/>
    </row>
    <row r="166" spans="1:27" ht="18" x14ac:dyDescent="0.4">
      <c r="A166" s="189"/>
      <c r="B166" s="132"/>
      <c r="C166" s="130">
        <v>0</v>
      </c>
      <c r="D166" s="130">
        <v>0</v>
      </c>
      <c r="E166" s="130">
        <v>0</v>
      </c>
      <c r="F166" s="130">
        <v>0</v>
      </c>
      <c r="G166" s="130">
        <v>0</v>
      </c>
      <c r="H166" s="130">
        <v>0</v>
      </c>
      <c r="I166" s="130">
        <v>0</v>
      </c>
      <c r="J166" s="130">
        <v>0</v>
      </c>
      <c r="K166" s="130"/>
      <c r="L166" s="130">
        <v>0</v>
      </c>
      <c r="M166" s="130">
        <v>0</v>
      </c>
      <c r="N166" s="130"/>
      <c r="O166" s="130">
        <v>0</v>
      </c>
      <c r="P166" s="130">
        <v>0</v>
      </c>
      <c r="Q166" s="130">
        <v>0</v>
      </c>
      <c r="R166" s="130">
        <v>0</v>
      </c>
      <c r="S166" s="130">
        <v>0</v>
      </c>
      <c r="T166" s="130">
        <v>0</v>
      </c>
      <c r="U166" s="130">
        <v>0</v>
      </c>
      <c r="V166" s="130">
        <v>0</v>
      </c>
      <c r="W166" s="130">
        <f>SUM(C166:V166)</f>
        <v>0</v>
      </c>
    </row>
    <row r="167" spans="1:27" ht="18" x14ac:dyDescent="0.4">
      <c r="A167" s="189"/>
      <c r="B167" s="132"/>
      <c r="C167" s="130">
        <v>0</v>
      </c>
      <c r="D167" s="130">
        <v>0</v>
      </c>
      <c r="E167" s="130">
        <v>0</v>
      </c>
      <c r="F167" s="130">
        <v>0</v>
      </c>
      <c r="G167" s="130">
        <v>0</v>
      </c>
      <c r="H167" s="130">
        <v>0</v>
      </c>
      <c r="I167" s="130">
        <v>0</v>
      </c>
      <c r="J167" s="130">
        <v>0</v>
      </c>
      <c r="K167" s="130"/>
      <c r="L167" s="130">
        <v>0</v>
      </c>
      <c r="M167" s="130">
        <v>0</v>
      </c>
      <c r="N167" s="130"/>
      <c r="O167" s="130">
        <v>0</v>
      </c>
      <c r="P167" s="130">
        <v>0</v>
      </c>
      <c r="Q167" s="130">
        <v>0</v>
      </c>
      <c r="R167" s="130">
        <v>0</v>
      </c>
      <c r="S167" s="130">
        <v>0</v>
      </c>
      <c r="T167" s="130">
        <v>0</v>
      </c>
      <c r="U167" s="130">
        <v>0</v>
      </c>
      <c r="V167" s="130">
        <v>0</v>
      </c>
      <c r="W167" s="130">
        <f>SUM(C167:V167)</f>
        <v>0</v>
      </c>
    </row>
    <row r="168" spans="1:27" ht="18" x14ac:dyDescent="0.4">
      <c r="A168" s="189"/>
      <c r="B168" s="132"/>
      <c r="C168" s="130">
        <v>0</v>
      </c>
      <c r="D168" s="130">
        <v>0</v>
      </c>
      <c r="E168" s="130">
        <v>0</v>
      </c>
      <c r="F168" s="130">
        <v>0</v>
      </c>
      <c r="G168" s="130">
        <v>0</v>
      </c>
      <c r="H168" s="130">
        <v>0</v>
      </c>
      <c r="I168" s="130">
        <v>0</v>
      </c>
      <c r="J168" s="130">
        <v>0</v>
      </c>
      <c r="K168" s="130"/>
      <c r="L168" s="130">
        <v>0</v>
      </c>
      <c r="M168" s="130">
        <v>0</v>
      </c>
      <c r="N168" s="130"/>
      <c r="O168" s="130">
        <v>0</v>
      </c>
      <c r="P168" s="130">
        <v>0</v>
      </c>
      <c r="Q168" s="130">
        <v>0</v>
      </c>
      <c r="R168" s="130">
        <v>0</v>
      </c>
      <c r="S168" s="130">
        <v>0</v>
      </c>
      <c r="T168" s="130">
        <v>0</v>
      </c>
      <c r="U168" s="130">
        <v>0</v>
      </c>
      <c r="V168" s="130">
        <v>0</v>
      </c>
      <c r="W168" s="130">
        <f>SUM(C168:V168)</f>
        <v>0</v>
      </c>
    </row>
    <row r="169" spans="1:27" s="239" customFormat="1" ht="18.75" thickBot="1" x14ac:dyDescent="0.45">
      <c r="A169" s="236" t="s">
        <v>189</v>
      </c>
      <c r="B169" s="237"/>
      <c r="C169" s="238">
        <f>SUM(C153:C168)</f>
        <v>0</v>
      </c>
      <c r="D169" s="238">
        <f>SUM(D153:D168)</f>
        <v>0</v>
      </c>
      <c r="E169" s="238">
        <f>SUM(E153:E168)</f>
        <v>0</v>
      </c>
      <c r="F169" s="238"/>
      <c r="G169" s="238">
        <f>SUM(G153:G168)</f>
        <v>0</v>
      </c>
      <c r="H169" s="238">
        <f>SUM(H153:H168)</f>
        <v>0</v>
      </c>
      <c r="I169" s="238">
        <f>SUM(I153:I168)</f>
        <v>0</v>
      </c>
      <c r="J169" s="238">
        <f>SUM(J153:J168)</f>
        <v>0</v>
      </c>
      <c r="K169" s="238"/>
      <c r="L169" s="238">
        <f>SUM(L153:L168)</f>
        <v>0</v>
      </c>
      <c r="M169" s="238">
        <f>SUM(M153:M168)</f>
        <v>0</v>
      </c>
      <c r="N169" s="238"/>
      <c r="O169" s="238">
        <f>SUM(O153:O168)</f>
        <v>0</v>
      </c>
      <c r="P169" s="238">
        <f>SUM(P153:P168)</f>
        <v>0</v>
      </c>
      <c r="Q169" s="238">
        <f>SUM(Q153:Q168)</f>
        <v>0</v>
      </c>
      <c r="R169" s="238"/>
      <c r="S169" s="238">
        <f>SUM(S153:S168)</f>
        <v>0</v>
      </c>
      <c r="T169" s="238">
        <f>SUM(T153:T168)</f>
        <v>0</v>
      </c>
      <c r="U169" s="238">
        <f>SUM(U153:U168)</f>
        <v>0</v>
      </c>
      <c r="V169" s="238">
        <f>SUM(V153:V168)</f>
        <v>0</v>
      </c>
      <c r="W169" s="238">
        <f t="shared" ref="W169:W170" si="17">SUM(C169:V169)</f>
        <v>0</v>
      </c>
    </row>
    <row r="170" spans="1:27" s="227" customFormat="1" ht="19.5" thickTop="1" thickBot="1" x14ac:dyDescent="0.45">
      <c r="A170" s="224" t="s">
        <v>262</v>
      </c>
      <c r="B170" s="225"/>
      <c r="C170" s="375">
        <f t="shared" ref="C170:V170" si="18">+C16+C24+C31+C40+C90+C116+C123+C136+C142+C169</f>
        <v>0</v>
      </c>
      <c r="D170" s="375">
        <f t="shared" si="18"/>
        <v>0</v>
      </c>
      <c r="E170" s="375">
        <f t="shared" si="18"/>
        <v>0</v>
      </c>
      <c r="F170" s="375">
        <f t="shared" si="18"/>
        <v>0</v>
      </c>
      <c r="G170" s="375">
        <f t="shared" si="18"/>
        <v>0</v>
      </c>
      <c r="H170" s="375">
        <f t="shared" si="18"/>
        <v>0</v>
      </c>
      <c r="I170" s="375">
        <f t="shared" si="18"/>
        <v>0</v>
      </c>
      <c r="J170" s="375">
        <f t="shared" si="18"/>
        <v>0</v>
      </c>
      <c r="K170" s="375">
        <f t="shared" si="18"/>
        <v>35000</v>
      </c>
      <c r="L170" s="375">
        <f t="shared" si="18"/>
        <v>0</v>
      </c>
      <c r="M170" s="375">
        <f t="shared" si="18"/>
        <v>0</v>
      </c>
      <c r="N170" s="375">
        <f t="shared" si="18"/>
        <v>20000</v>
      </c>
      <c r="O170" s="375">
        <f t="shared" si="18"/>
        <v>1076745</v>
      </c>
      <c r="P170" s="375">
        <f t="shared" si="18"/>
        <v>0</v>
      </c>
      <c r="Q170" s="375">
        <f t="shared" si="18"/>
        <v>0</v>
      </c>
      <c r="R170" s="375">
        <f t="shared" si="18"/>
        <v>0</v>
      </c>
      <c r="S170" s="375">
        <f t="shared" si="18"/>
        <v>560000</v>
      </c>
      <c r="T170" s="375">
        <f t="shared" si="18"/>
        <v>0</v>
      </c>
      <c r="U170" s="375">
        <f t="shared" si="18"/>
        <v>0</v>
      </c>
      <c r="V170" s="375">
        <f t="shared" si="18"/>
        <v>30000</v>
      </c>
      <c r="W170" s="226">
        <f t="shared" si="17"/>
        <v>1721745</v>
      </c>
      <c r="X170" s="240"/>
      <c r="Y170" s="241"/>
      <c r="Z170" s="241"/>
      <c r="AA170" s="225"/>
    </row>
    <row r="171" spans="1:27" ht="17.25" thickTop="1" x14ac:dyDescent="0.3">
      <c r="G171" s="205"/>
      <c r="H171" s="205"/>
      <c r="J171" s="206"/>
      <c r="K171" s="206"/>
      <c r="M171" s="205"/>
      <c r="N171" s="205"/>
      <c r="S171" s="205"/>
    </row>
    <row r="172" spans="1:27" ht="16.5" x14ac:dyDescent="0.3">
      <c r="G172" s="205"/>
      <c r="H172" s="205"/>
      <c r="J172" s="206"/>
      <c r="K172" s="206"/>
      <c r="M172" s="205"/>
      <c r="N172" s="205"/>
      <c r="S172" s="205"/>
    </row>
    <row r="173" spans="1:27" ht="24" x14ac:dyDescent="0.55000000000000004">
      <c r="B173" s="400" t="s">
        <v>471</v>
      </c>
      <c r="C173" s="400"/>
      <c r="D173" s="400"/>
      <c r="F173" s="400"/>
      <c r="G173" s="400"/>
      <c r="H173" s="400" t="s">
        <v>509</v>
      </c>
      <c r="I173" s="401"/>
      <c r="J173" s="401"/>
      <c r="N173" s="258" t="s">
        <v>474</v>
      </c>
      <c r="O173" s="258"/>
    </row>
    <row r="174" spans="1:27" ht="24" x14ac:dyDescent="0.55000000000000004">
      <c r="B174" s="400" t="s">
        <v>472</v>
      </c>
      <c r="C174" s="400"/>
      <c r="D174" s="400"/>
      <c r="F174" s="400"/>
      <c r="G174" s="400"/>
      <c r="H174" s="400" t="s">
        <v>510</v>
      </c>
      <c r="I174" s="401"/>
      <c r="J174" s="401"/>
      <c r="N174" s="258" t="s">
        <v>473</v>
      </c>
      <c r="O174" s="258"/>
      <c r="P174" s="448"/>
      <c r="Q174" s="943"/>
      <c r="R174" s="943"/>
      <c r="S174" s="943"/>
      <c r="T174" s="943"/>
    </row>
    <row r="175" spans="1:27" ht="24" x14ac:dyDescent="0.55000000000000004">
      <c r="C175" s="312"/>
      <c r="D175" s="312"/>
      <c r="E175" s="312"/>
      <c r="F175" s="312"/>
      <c r="G175" s="312"/>
      <c r="H175" s="400" t="s">
        <v>475</v>
      </c>
      <c r="I175" s="401"/>
      <c r="J175" s="401"/>
      <c r="K175" s="313"/>
      <c r="L175" s="313"/>
      <c r="M175" s="943"/>
      <c r="N175" s="943"/>
      <c r="O175" s="943"/>
      <c r="P175" s="943"/>
      <c r="Q175" s="943"/>
      <c r="R175" s="943"/>
      <c r="S175" s="943"/>
      <c r="T175" s="943"/>
    </row>
    <row r="176" spans="1:27" ht="16.5" x14ac:dyDescent="0.3">
      <c r="G176" s="205"/>
      <c r="H176" s="205"/>
      <c r="J176" s="206"/>
      <c r="K176" s="206"/>
      <c r="M176" s="205"/>
      <c r="N176" s="205"/>
      <c r="S176" s="205"/>
    </row>
  </sheetData>
  <mergeCells count="97">
    <mergeCell ref="M175:P175"/>
    <mergeCell ref="Q175:T175"/>
    <mergeCell ref="Q174:T174"/>
    <mergeCell ref="D148:E148"/>
    <mergeCell ref="J148:K148"/>
    <mergeCell ref="M148:N148"/>
    <mergeCell ref="O148:P148"/>
    <mergeCell ref="Q148:S148"/>
    <mergeCell ref="T148:U148"/>
    <mergeCell ref="T147:U147"/>
    <mergeCell ref="T96:U96"/>
    <mergeCell ref="A143:W143"/>
    <mergeCell ref="A144:W144"/>
    <mergeCell ref="A145:W145"/>
    <mergeCell ref="D146:E146"/>
    <mergeCell ref="F146:G146"/>
    <mergeCell ref="H146:I146"/>
    <mergeCell ref="J146:K146"/>
    <mergeCell ref="M146:N146"/>
    <mergeCell ref="O146:P146"/>
    <mergeCell ref="D96:E96"/>
    <mergeCell ref="H96:I96"/>
    <mergeCell ref="J96:K96"/>
    <mergeCell ref="M96:N96"/>
    <mergeCell ref="O96:P96"/>
    <mergeCell ref="D147:E147"/>
    <mergeCell ref="F147:G147"/>
    <mergeCell ref="J147:K147"/>
    <mergeCell ref="M147:N147"/>
    <mergeCell ref="Q147:S147"/>
    <mergeCell ref="O94:P94"/>
    <mergeCell ref="Q94:S94"/>
    <mergeCell ref="T94:U94"/>
    <mergeCell ref="Q146:S146"/>
    <mergeCell ref="T146:U146"/>
    <mergeCell ref="Q96:S96"/>
    <mergeCell ref="T95:U95"/>
    <mergeCell ref="D94:E94"/>
    <mergeCell ref="F94:G94"/>
    <mergeCell ref="H94:I94"/>
    <mergeCell ref="J94:K94"/>
    <mergeCell ref="M94:N94"/>
    <mergeCell ref="T46:U46"/>
    <mergeCell ref="D46:E46"/>
    <mergeCell ref="H46:I46"/>
    <mergeCell ref="J46:K46"/>
    <mergeCell ref="M46:N46"/>
    <mergeCell ref="O46:P46"/>
    <mergeCell ref="Q46:S46"/>
    <mergeCell ref="D95:E95"/>
    <mergeCell ref="F95:G95"/>
    <mergeCell ref="J95:K95"/>
    <mergeCell ref="M95:N95"/>
    <mergeCell ref="Q95:S95"/>
    <mergeCell ref="T44:U44"/>
    <mergeCell ref="A91:W91"/>
    <mergeCell ref="A92:W92"/>
    <mergeCell ref="A93:W93"/>
    <mergeCell ref="T6:U6"/>
    <mergeCell ref="A41:W41"/>
    <mergeCell ref="A42:W42"/>
    <mergeCell ref="A43:W43"/>
    <mergeCell ref="D44:E44"/>
    <mergeCell ref="F44:G44"/>
    <mergeCell ref="H44:I44"/>
    <mergeCell ref="J44:K44"/>
    <mergeCell ref="M44:N44"/>
    <mergeCell ref="O44:P44"/>
    <mergeCell ref="D6:E6"/>
    <mergeCell ref="H6:I6"/>
    <mergeCell ref="Q45:S45"/>
    <mergeCell ref="M6:N6"/>
    <mergeCell ref="O6:P6"/>
    <mergeCell ref="Q6:S6"/>
    <mergeCell ref="Q44:S44"/>
    <mergeCell ref="M5:N5"/>
    <mergeCell ref="D45:E45"/>
    <mergeCell ref="F45:G45"/>
    <mergeCell ref="J45:K45"/>
    <mergeCell ref="M45:N45"/>
    <mergeCell ref="J6:K6"/>
    <mergeCell ref="Q5:S5"/>
    <mergeCell ref="T45:U45"/>
    <mergeCell ref="A1:W1"/>
    <mergeCell ref="A2:W2"/>
    <mergeCell ref="A3:W3"/>
    <mergeCell ref="D4:E4"/>
    <mergeCell ref="F4:G4"/>
    <mergeCell ref="H4:I4"/>
    <mergeCell ref="J4:K4"/>
    <mergeCell ref="M4:N4"/>
    <mergeCell ref="O4:P4"/>
    <mergeCell ref="Q4:S4"/>
    <mergeCell ref="T4:U4"/>
    <mergeCell ref="D5:E5"/>
    <mergeCell ref="F5:G5"/>
    <mergeCell ref="J5:K5"/>
  </mergeCells>
  <printOptions horizontalCentered="1"/>
  <pageMargins left="0.23622047244094491" right="0.13" top="0.66" bottom="0.27559055118110237" header="0.19685039370078741" footer="0.19685039370078741"/>
  <pageSetup paperSize="9" scale="55" orientation="landscape" r:id="rId1"/>
  <rowBreaks count="3" manualBreakCount="3">
    <brk id="40" max="16383" man="1"/>
    <brk id="90" max="16383" man="1"/>
    <brk id="142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4</vt:i4>
      </vt:variant>
    </vt:vector>
  </HeadingPairs>
  <TitlesOfParts>
    <vt:vector size="12" baseType="lpstr">
      <vt:lpstr>งบรับ-จ่าย 59</vt:lpstr>
      <vt:lpstr>งบทดลอง</vt:lpstr>
      <vt:lpstr>รายรับจริง 59</vt:lpstr>
      <vt:lpstr>ราบจ่ายจริง ปี 59</vt:lpstr>
      <vt:lpstr>งบกระทบยอดเงินฝาก</vt:lpstr>
      <vt:lpstr>กรุงไทย</vt:lpstr>
      <vt:lpstr>10</vt:lpstr>
      <vt:lpstr>งบกระทบยอดคงเหลือ</vt:lpstr>
      <vt:lpstr>'10'!Print_Area</vt:lpstr>
      <vt:lpstr>งบทดลอง!Print_Area</vt:lpstr>
      <vt:lpstr>'งบรับ-จ่าย 59'!Print_Area</vt:lpstr>
      <vt:lpstr>'รายรับจริง 59'!Print_Area</vt:lpstr>
    </vt:vector>
  </TitlesOfParts>
  <Company>TrueFasterOS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TrueFasterUser</dc:creator>
  <cp:lastModifiedBy>Windows User</cp:lastModifiedBy>
  <cp:lastPrinted>2017-05-26T07:28:02Z</cp:lastPrinted>
  <dcterms:created xsi:type="dcterms:W3CDTF">2013-02-11T07:17:46Z</dcterms:created>
  <dcterms:modified xsi:type="dcterms:W3CDTF">2017-06-01T02:14:05Z</dcterms:modified>
</cp:coreProperties>
</file>